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8.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9.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0.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1.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2.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3.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4.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5.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6.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7.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8.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9.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0.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1.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2.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3.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4.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5.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defaultThemeVersion="124226"/>
  <mc:AlternateContent xmlns:mc="http://schemas.openxmlformats.org/markup-compatibility/2006">
    <mc:Choice Requires="x15">
      <x15ac:absPath xmlns:x15ac="http://schemas.microsoft.com/office/spreadsheetml/2010/11/ac" url="https://svela-my.sharepoint.com/personal/eva_bjorkas_slf_fi/Documents/Arbeten/WordPress WEBBSIDOR/"/>
    </mc:Choice>
  </mc:AlternateContent>
  <xr:revisionPtr revIDLastSave="0" documentId="8_{F6722BCE-8C6A-496C-B6E4-332C396587F3}" xr6:coauthVersionLast="47" xr6:coauthVersionMax="47" xr10:uidLastSave="{00000000-0000-0000-0000-000000000000}"/>
  <bookViews>
    <workbookView xWindow="-108" yWindow="-108" windowWidth="23256" windowHeight="12576" tabRatio="683" xr2:uid="{00000000-000D-0000-FFFF-FFFF00000000}"/>
  </bookViews>
  <sheets>
    <sheet name="INLEDNING" sheetId="40" r:id="rId1"/>
    <sheet name="Gårdens info" sheetId="27" r:id="rId2"/>
    <sheet name="Hela gårdens lönsamhet" sheetId="30" r:id="rId3"/>
    <sheet name="Morot" sheetId="34" r:id="rId4"/>
    <sheet name="Kål" sheetId="33" r:id="rId5"/>
    <sheet name="Lök" sheetId="32" r:id="rId6"/>
    <sheet name="Trädgårdsärt" sheetId="38" r:id="rId7"/>
    <sheet name="Grönsak från frö 1" sheetId="45" r:id="rId8"/>
    <sheet name="Grönsak från frö 2" sheetId="44" r:id="rId9"/>
    <sheet name="Planterad grönsak 1" sheetId="43" r:id="rId10"/>
    <sheet name="Planterad grönsak 2" sheetId="42" r:id="rId11"/>
    <sheet name="Planterad grönsak 3" sheetId="41" r:id="rId12"/>
    <sheet name="Jordgubbe friland" sheetId="20" r:id="rId13"/>
    <sheet name="Jordgubbe tunnel" sheetId="23" r:id="rId14"/>
    <sheet name="Hallon friland" sheetId="21" r:id="rId15"/>
    <sheet name="Hallon tunnel" sheetId="24" r:id="rId16"/>
    <sheet name="Svarta vinbär" sheetId="25" r:id="rId17"/>
    <sheet name="Buskblåbär" sheetId="22" r:id="rId18"/>
    <sheet name="Äpple" sheetId="26" r:id="rId19"/>
    <sheet name="Havre" sheetId="29" r:id="rId20"/>
    <sheet name="Korn" sheetId="35" r:id="rId21"/>
    <sheet name="Vete" sheetId="36" r:id="rId22"/>
    <sheet name="Höstråg" sheetId="39" r:id="rId23"/>
    <sheet name="Naturvårdsåker" sheetId="28" r:id="rId24"/>
    <sheet name="Vall" sheetId="37" r:id="rId25"/>
    <sheet name="Stöd" sheetId="31" r:id="rId26"/>
    <sheet name="Ägendom" sheetId="4" r:id="rId27"/>
  </sheets>
  <definedNames>
    <definedName name="Kohdentamisalue11">'Gårdens info'!$G$51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73" i="35" l="1"/>
  <c r="AB28" i="37"/>
  <c r="AB27" i="37"/>
  <c r="AB26" i="37"/>
  <c r="AB25" i="37"/>
  <c r="AB24" i="37"/>
  <c r="AB28" i="28"/>
  <c r="AB27" i="28"/>
  <c r="AB26" i="28"/>
  <c r="AB25" i="28"/>
  <c r="AB24" i="28"/>
  <c r="AB28" i="39"/>
  <c r="AB27" i="39"/>
  <c r="AB26" i="39"/>
  <c r="AB25" i="39"/>
  <c r="AB24" i="39"/>
  <c r="AB28" i="36"/>
  <c r="AB27" i="36"/>
  <c r="AB26" i="36"/>
  <c r="AB25" i="36"/>
  <c r="AB24" i="36"/>
  <c r="AB28" i="35"/>
  <c r="AB27" i="35"/>
  <c r="AB26" i="35"/>
  <c r="AB25" i="35"/>
  <c r="AB24" i="35"/>
  <c r="J102" i="35"/>
  <c r="AB26" i="41"/>
  <c r="AB27" i="41"/>
  <c r="AB28" i="41"/>
  <c r="F190" i="23" l="1"/>
  <c r="L185" i="23"/>
  <c r="H185" i="23"/>
  <c r="H177" i="23"/>
  <c r="L177" i="23"/>
  <c r="L273" i="20"/>
  <c r="H273" i="20"/>
  <c r="J172" i="20"/>
  <c r="L172" i="20" s="1"/>
  <c r="F172" i="20"/>
  <c r="H172" i="20" s="1"/>
  <c r="L159" i="20"/>
  <c r="H159" i="20"/>
  <c r="H160" i="20"/>
  <c r="L154" i="20"/>
  <c r="H154" i="20"/>
  <c r="L329" i="20"/>
  <c r="L330" i="20"/>
  <c r="L331" i="20"/>
  <c r="L332" i="20"/>
  <c r="L333" i="20"/>
  <c r="L328" i="20"/>
  <c r="H329" i="20"/>
  <c r="H330" i="20"/>
  <c r="H331" i="20"/>
  <c r="H332" i="20"/>
  <c r="H333" i="20"/>
  <c r="H328" i="20"/>
  <c r="H270" i="20"/>
  <c r="H271" i="20"/>
  <c r="H272" i="20"/>
  <c r="H274" i="20"/>
  <c r="H275" i="20"/>
  <c r="H276" i="20"/>
  <c r="H277" i="20"/>
  <c r="H269" i="20"/>
  <c r="H263" i="20"/>
  <c r="H264" i="20"/>
  <c r="H265" i="20"/>
  <c r="H266" i="20"/>
  <c r="H267" i="20"/>
  <c r="H262" i="20"/>
  <c r="H9" i="43"/>
  <c r="H10" i="44"/>
  <c r="H9" i="44"/>
  <c r="F123" i="45"/>
  <c r="F123" i="44"/>
  <c r="F120" i="43"/>
  <c r="F120" i="42"/>
  <c r="F120" i="41"/>
  <c r="H60" i="41"/>
  <c r="F60" i="41"/>
  <c r="J60" i="41" s="1"/>
  <c r="J46" i="41"/>
  <c r="J39" i="41"/>
  <c r="J32" i="41"/>
  <c r="H54" i="41"/>
  <c r="H55" i="41"/>
  <c r="H53" i="41"/>
  <c r="F54" i="41"/>
  <c r="F55" i="41"/>
  <c r="F53" i="41"/>
  <c r="F47" i="41"/>
  <c r="F48" i="41"/>
  <c r="F49" i="41"/>
  <c r="F46" i="41"/>
  <c r="H47" i="41"/>
  <c r="H48" i="41"/>
  <c r="H49" i="41"/>
  <c r="H46" i="41"/>
  <c r="H40" i="41"/>
  <c r="H41" i="41"/>
  <c r="H42" i="41"/>
  <c r="H39" i="41"/>
  <c r="F40" i="41"/>
  <c r="F41" i="41"/>
  <c r="F42" i="41"/>
  <c r="F39" i="41"/>
  <c r="F33" i="41"/>
  <c r="F34" i="41"/>
  <c r="F35" i="41"/>
  <c r="F32" i="41"/>
  <c r="H33" i="41"/>
  <c r="H34" i="41"/>
  <c r="H35" i="41"/>
  <c r="H32" i="41"/>
  <c r="H27" i="41"/>
  <c r="H26" i="41"/>
  <c r="F26" i="41"/>
  <c r="F23" i="41"/>
  <c r="F22" i="41"/>
  <c r="J22" i="41" s="1"/>
  <c r="F21" i="41"/>
  <c r="J21" i="41" s="1"/>
  <c r="F20" i="41"/>
  <c r="J20" i="41" s="1"/>
  <c r="F19" i="41"/>
  <c r="F18" i="41"/>
  <c r="F17" i="41"/>
  <c r="F16" i="41"/>
  <c r="J16" i="41" s="1"/>
  <c r="J17" i="41"/>
  <c r="J18" i="41"/>
  <c r="J23" i="41"/>
  <c r="H17" i="41"/>
  <c r="H18" i="41"/>
  <c r="H19" i="41"/>
  <c r="H20" i="41"/>
  <c r="H21" i="41"/>
  <c r="H22" i="41"/>
  <c r="H23" i="41"/>
  <c r="H16" i="41"/>
  <c r="F10" i="41"/>
  <c r="J10" i="41" s="1"/>
  <c r="H10" i="41"/>
  <c r="H9" i="41"/>
  <c r="F9" i="41" s="1"/>
  <c r="J9" i="41" s="1"/>
  <c r="J60" i="42"/>
  <c r="H60" i="42"/>
  <c r="F60" i="42"/>
  <c r="H54" i="42"/>
  <c r="H55" i="42"/>
  <c r="H53" i="42"/>
  <c r="F54" i="42"/>
  <c r="F55" i="42"/>
  <c r="F53" i="42"/>
  <c r="F47" i="42"/>
  <c r="F48" i="42"/>
  <c r="F49" i="42"/>
  <c r="F46" i="42"/>
  <c r="H47" i="42"/>
  <c r="H48" i="42"/>
  <c r="H49" i="42"/>
  <c r="H46" i="42"/>
  <c r="H40" i="42"/>
  <c r="H41" i="42"/>
  <c r="H42" i="42"/>
  <c r="H39" i="42"/>
  <c r="F40" i="42"/>
  <c r="F41" i="42"/>
  <c r="F42" i="42"/>
  <c r="F39" i="42"/>
  <c r="F33" i="42"/>
  <c r="F34" i="42"/>
  <c r="F35" i="42"/>
  <c r="F32" i="42"/>
  <c r="H33" i="42"/>
  <c r="H34" i="42"/>
  <c r="H35" i="42"/>
  <c r="H32" i="42"/>
  <c r="H27" i="42"/>
  <c r="H26" i="42"/>
  <c r="F26" i="42"/>
  <c r="H17" i="42"/>
  <c r="H18" i="42"/>
  <c r="H19" i="42"/>
  <c r="H20" i="42"/>
  <c r="H21" i="42"/>
  <c r="H22" i="42"/>
  <c r="H23" i="42"/>
  <c r="H16" i="42"/>
  <c r="F23" i="42"/>
  <c r="F22" i="42"/>
  <c r="J22" i="42" s="1"/>
  <c r="F21" i="42"/>
  <c r="F20" i="42"/>
  <c r="J20" i="42" s="1"/>
  <c r="F19" i="42"/>
  <c r="J19" i="42" s="1"/>
  <c r="F18" i="42"/>
  <c r="J18" i="42" s="1"/>
  <c r="F17" i="42"/>
  <c r="J17" i="42" s="1"/>
  <c r="F16" i="42"/>
  <c r="J21" i="42"/>
  <c r="J23" i="42"/>
  <c r="J16" i="42"/>
  <c r="H10" i="42"/>
  <c r="H9" i="42"/>
  <c r="F9" i="42" s="1"/>
  <c r="J9" i="42" s="1"/>
  <c r="F10" i="42"/>
  <c r="J10" i="42" s="1"/>
  <c r="F60" i="43"/>
  <c r="J60" i="43" s="1"/>
  <c r="H60" i="43"/>
  <c r="H54" i="43"/>
  <c r="H55" i="43"/>
  <c r="H53" i="43"/>
  <c r="F54" i="43"/>
  <c r="F55" i="43"/>
  <c r="F53" i="43"/>
  <c r="F47" i="43"/>
  <c r="F48" i="43"/>
  <c r="F49" i="43"/>
  <c r="F46" i="43"/>
  <c r="H47" i="43"/>
  <c r="H48" i="43"/>
  <c r="H49" i="43"/>
  <c r="H46" i="43"/>
  <c r="H40" i="43"/>
  <c r="H41" i="43"/>
  <c r="H42" i="43"/>
  <c r="H39" i="43"/>
  <c r="F40" i="43"/>
  <c r="F41" i="43"/>
  <c r="F42" i="43"/>
  <c r="F39" i="43"/>
  <c r="F33" i="43"/>
  <c r="F34" i="43"/>
  <c r="F35" i="43"/>
  <c r="F32" i="43"/>
  <c r="H33" i="43"/>
  <c r="H34" i="43"/>
  <c r="H35" i="43"/>
  <c r="H32" i="43"/>
  <c r="H27" i="43"/>
  <c r="H26" i="43"/>
  <c r="F26" i="43"/>
  <c r="F23" i="43"/>
  <c r="J23" i="43" s="1"/>
  <c r="F22" i="43"/>
  <c r="J22" i="43" s="1"/>
  <c r="F21" i="43"/>
  <c r="J21" i="43" s="1"/>
  <c r="F20" i="43"/>
  <c r="J20" i="43" s="1"/>
  <c r="F19" i="43"/>
  <c r="J19" i="43" s="1"/>
  <c r="F18" i="43"/>
  <c r="J18" i="43" s="1"/>
  <c r="F17" i="43"/>
  <c r="J17" i="43" s="1"/>
  <c r="F16" i="43"/>
  <c r="J16" i="43" s="1"/>
  <c r="H17" i="43"/>
  <c r="H18" i="43"/>
  <c r="H19" i="43"/>
  <c r="H20" i="43"/>
  <c r="H21" i="43"/>
  <c r="H22" i="43"/>
  <c r="H23" i="43"/>
  <c r="H16" i="43"/>
  <c r="H10" i="43"/>
  <c r="F9" i="43"/>
  <c r="J9" i="43" s="1"/>
  <c r="F10" i="43"/>
  <c r="J10" i="43" s="1"/>
  <c r="F60" i="45"/>
  <c r="H60" i="45"/>
  <c r="H33" i="45"/>
  <c r="H34" i="45"/>
  <c r="H35" i="45"/>
  <c r="H32" i="45"/>
  <c r="F60" i="44"/>
  <c r="J60" i="44" s="1"/>
  <c r="H60" i="44"/>
  <c r="F54" i="44"/>
  <c r="F55" i="44"/>
  <c r="F53" i="44"/>
  <c r="H54" i="44"/>
  <c r="H55" i="44"/>
  <c r="H53" i="44"/>
  <c r="F47" i="44"/>
  <c r="F48" i="44"/>
  <c r="F49" i="44"/>
  <c r="F46" i="44"/>
  <c r="H47" i="44"/>
  <c r="H48" i="44"/>
  <c r="H49" i="44"/>
  <c r="H46" i="44"/>
  <c r="H40" i="44"/>
  <c r="H41" i="44"/>
  <c r="H42" i="44"/>
  <c r="H39" i="44"/>
  <c r="F40" i="44"/>
  <c r="F41" i="44"/>
  <c r="F42" i="44"/>
  <c r="F39" i="44"/>
  <c r="F33" i="44"/>
  <c r="F34" i="44"/>
  <c r="F35" i="44"/>
  <c r="F32" i="44"/>
  <c r="H33" i="44"/>
  <c r="H34" i="44"/>
  <c r="H35" i="44"/>
  <c r="H32" i="44"/>
  <c r="H27" i="44"/>
  <c r="H26" i="44"/>
  <c r="F26" i="44"/>
  <c r="H17" i="44"/>
  <c r="H18" i="44"/>
  <c r="H19" i="44"/>
  <c r="H20" i="44"/>
  <c r="H21" i="44"/>
  <c r="H22" i="44"/>
  <c r="H23" i="44"/>
  <c r="H16" i="44"/>
  <c r="J23" i="44"/>
  <c r="F23" i="44"/>
  <c r="F22" i="44"/>
  <c r="J22" i="44" s="1"/>
  <c r="F21" i="44"/>
  <c r="J21" i="44" s="1"/>
  <c r="F20" i="44"/>
  <c r="J20" i="44" s="1"/>
  <c r="F18" i="44"/>
  <c r="J18" i="44" s="1"/>
  <c r="F17" i="44"/>
  <c r="J17" i="44" s="1"/>
  <c r="F16" i="44"/>
  <c r="J16" i="44" s="1"/>
  <c r="F10" i="44"/>
  <c r="J10" i="44" s="1"/>
  <c r="F9" i="44"/>
  <c r="J9" i="44" s="1"/>
  <c r="AA19" i="4"/>
  <c r="Z19" i="4"/>
  <c r="Y19" i="4"/>
  <c r="X19" i="4"/>
  <c r="W19" i="4"/>
  <c r="V19" i="4"/>
  <c r="U19" i="4"/>
  <c r="T19" i="4"/>
  <c r="S19" i="4"/>
  <c r="R19" i="4"/>
  <c r="Q19" i="4"/>
  <c r="P19" i="4"/>
  <c r="O19" i="4"/>
  <c r="N19" i="4"/>
  <c r="M19" i="4"/>
  <c r="L19" i="4"/>
  <c r="AA48" i="4"/>
  <c r="Z48" i="4"/>
  <c r="Y48" i="4"/>
  <c r="X48" i="4"/>
  <c r="W48" i="4"/>
  <c r="V48" i="4"/>
  <c r="U48" i="4"/>
  <c r="T48" i="4"/>
  <c r="S48" i="4"/>
  <c r="R48" i="4"/>
  <c r="Q48" i="4"/>
  <c r="P48" i="4"/>
  <c r="O48" i="4"/>
  <c r="N48" i="4"/>
  <c r="M48" i="4"/>
  <c r="L48" i="4"/>
  <c r="AA47" i="4"/>
  <c r="Z47" i="4"/>
  <c r="Y47" i="4"/>
  <c r="X47" i="4"/>
  <c r="W47" i="4"/>
  <c r="V47" i="4"/>
  <c r="U47" i="4"/>
  <c r="T47" i="4"/>
  <c r="S47" i="4"/>
  <c r="R47" i="4"/>
  <c r="Q47" i="4"/>
  <c r="P47" i="4"/>
  <c r="O47" i="4"/>
  <c r="N47" i="4"/>
  <c r="M47" i="4"/>
  <c r="L47" i="4"/>
  <c r="AA46" i="4"/>
  <c r="Z46" i="4"/>
  <c r="Y46" i="4"/>
  <c r="X46" i="4"/>
  <c r="W46" i="4"/>
  <c r="V46" i="4"/>
  <c r="U46" i="4"/>
  <c r="T46" i="4"/>
  <c r="S46" i="4"/>
  <c r="R46" i="4"/>
  <c r="Q46" i="4"/>
  <c r="P46" i="4"/>
  <c r="O46" i="4"/>
  <c r="N46" i="4"/>
  <c r="M46" i="4"/>
  <c r="L46" i="4"/>
  <c r="Z65" i="4"/>
  <c r="Y65" i="4"/>
  <c r="X65" i="4"/>
  <c r="W65" i="4"/>
  <c r="V65" i="4"/>
  <c r="U65" i="4"/>
  <c r="T65" i="4"/>
  <c r="S65" i="4"/>
  <c r="R65" i="4"/>
  <c r="Q65" i="4"/>
  <c r="P65" i="4"/>
  <c r="O65" i="4"/>
  <c r="N65" i="4"/>
  <c r="M65" i="4"/>
  <c r="L65" i="4"/>
  <c r="B65" i="4"/>
  <c r="C65" i="4"/>
  <c r="E65" i="4"/>
  <c r="F65" i="4"/>
  <c r="AA75" i="4"/>
  <c r="Z75" i="4"/>
  <c r="Y75" i="4"/>
  <c r="X75" i="4"/>
  <c r="W75" i="4"/>
  <c r="V75" i="4"/>
  <c r="U75" i="4"/>
  <c r="T75" i="4"/>
  <c r="S75" i="4"/>
  <c r="R75" i="4"/>
  <c r="Q75" i="4"/>
  <c r="P75" i="4"/>
  <c r="O75" i="4"/>
  <c r="N75" i="4"/>
  <c r="M75" i="4"/>
  <c r="L75" i="4"/>
  <c r="AA74" i="4"/>
  <c r="Z74" i="4"/>
  <c r="Y74" i="4"/>
  <c r="X74" i="4"/>
  <c r="W74" i="4"/>
  <c r="V74" i="4"/>
  <c r="U74" i="4"/>
  <c r="T74" i="4"/>
  <c r="S74" i="4"/>
  <c r="R74" i="4"/>
  <c r="Q74" i="4"/>
  <c r="P74" i="4"/>
  <c r="O74" i="4"/>
  <c r="N74" i="4"/>
  <c r="M74" i="4"/>
  <c r="L74" i="4"/>
  <c r="AA73" i="4"/>
  <c r="Z73" i="4"/>
  <c r="Y73" i="4"/>
  <c r="X73" i="4"/>
  <c r="W73" i="4"/>
  <c r="V73" i="4"/>
  <c r="U73" i="4"/>
  <c r="T73" i="4"/>
  <c r="S73" i="4"/>
  <c r="R73" i="4"/>
  <c r="Q73" i="4"/>
  <c r="P73" i="4"/>
  <c r="O73" i="4"/>
  <c r="N73" i="4"/>
  <c r="M73" i="4"/>
  <c r="L73" i="4"/>
  <c r="AA70" i="4"/>
  <c r="Z70" i="4"/>
  <c r="Y70" i="4"/>
  <c r="X70" i="4"/>
  <c r="W70" i="4"/>
  <c r="V70" i="4"/>
  <c r="U70" i="4"/>
  <c r="T70" i="4"/>
  <c r="S70" i="4"/>
  <c r="R70" i="4"/>
  <c r="Q70" i="4"/>
  <c r="P70" i="4"/>
  <c r="O70" i="4"/>
  <c r="N70" i="4"/>
  <c r="M70" i="4"/>
  <c r="L70" i="4"/>
  <c r="AA69" i="4"/>
  <c r="Z69" i="4"/>
  <c r="Y69" i="4"/>
  <c r="X69" i="4"/>
  <c r="W69" i="4"/>
  <c r="V69" i="4"/>
  <c r="U69" i="4"/>
  <c r="T69" i="4"/>
  <c r="S69" i="4"/>
  <c r="R69" i="4"/>
  <c r="Q69" i="4"/>
  <c r="P69" i="4"/>
  <c r="O69" i="4"/>
  <c r="N69" i="4"/>
  <c r="M69" i="4"/>
  <c r="L69" i="4"/>
  <c r="AA64" i="4"/>
  <c r="Z64" i="4"/>
  <c r="Y64" i="4"/>
  <c r="X64" i="4"/>
  <c r="W64" i="4"/>
  <c r="V64" i="4"/>
  <c r="U64" i="4"/>
  <c r="T64" i="4"/>
  <c r="S64" i="4"/>
  <c r="R64" i="4"/>
  <c r="Q64" i="4"/>
  <c r="P64" i="4"/>
  <c r="O64" i="4"/>
  <c r="N64" i="4"/>
  <c r="M64" i="4"/>
  <c r="L64" i="4"/>
  <c r="AA63" i="4"/>
  <c r="Z63" i="4"/>
  <c r="Y63" i="4"/>
  <c r="X63" i="4"/>
  <c r="W63" i="4"/>
  <c r="V63" i="4"/>
  <c r="U63" i="4"/>
  <c r="T63" i="4"/>
  <c r="S63" i="4"/>
  <c r="R63" i="4"/>
  <c r="Q63" i="4"/>
  <c r="P63" i="4"/>
  <c r="O63" i="4"/>
  <c r="N63" i="4"/>
  <c r="M63" i="4"/>
  <c r="L63" i="4"/>
  <c r="AA62" i="4"/>
  <c r="Z62" i="4"/>
  <c r="Y62" i="4"/>
  <c r="X62" i="4"/>
  <c r="W62" i="4"/>
  <c r="V62" i="4"/>
  <c r="U62" i="4"/>
  <c r="T62" i="4"/>
  <c r="S62" i="4"/>
  <c r="R62" i="4"/>
  <c r="Q62" i="4"/>
  <c r="P62" i="4"/>
  <c r="O62" i="4"/>
  <c r="N62" i="4"/>
  <c r="M62" i="4"/>
  <c r="L62" i="4"/>
  <c r="AA61" i="4"/>
  <c r="Z61" i="4"/>
  <c r="Y61" i="4"/>
  <c r="X61" i="4"/>
  <c r="W61" i="4"/>
  <c r="V61" i="4"/>
  <c r="U61" i="4"/>
  <c r="T61" i="4"/>
  <c r="S61" i="4"/>
  <c r="R61" i="4"/>
  <c r="Q61" i="4"/>
  <c r="P61" i="4"/>
  <c r="O61" i="4"/>
  <c r="N61" i="4"/>
  <c r="M61" i="4"/>
  <c r="L61" i="4"/>
  <c r="AA60" i="4"/>
  <c r="Z60" i="4"/>
  <c r="Y60" i="4"/>
  <c r="X60" i="4"/>
  <c r="W60" i="4"/>
  <c r="V60" i="4"/>
  <c r="U60" i="4"/>
  <c r="T60" i="4"/>
  <c r="S60" i="4"/>
  <c r="R60" i="4"/>
  <c r="Q60" i="4"/>
  <c r="P60" i="4"/>
  <c r="O60" i="4"/>
  <c r="N60" i="4"/>
  <c r="M60" i="4"/>
  <c r="L60" i="4"/>
  <c r="T59" i="4"/>
  <c r="S59" i="4"/>
  <c r="R59" i="4"/>
  <c r="Q59" i="4"/>
  <c r="P59" i="4"/>
  <c r="AG79" i="4"/>
  <c r="J53" i="41" s="1"/>
  <c r="AF79" i="4"/>
  <c r="AE79" i="4"/>
  <c r="AD79" i="4"/>
  <c r="AC79" i="4"/>
  <c r="AB79" i="4"/>
  <c r="AA79" i="4"/>
  <c r="Z79" i="4"/>
  <c r="Y79" i="4"/>
  <c r="X79" i="4"/>
  <c r="W79" i="4"/>
  <c r="V79" i="4"/>
  <c r="U79" i="4"/>
  <c r="T79" i="4"/>
  <c r="S79" i="4"/>
  <c r="R79" i="4"/>
  <c r="Q79" i="4"/>
  <c r="P79" i="4"/>
  <c r="O79" i="4"/>
  <c r="N79" i="4"/>
  <c r="M79" i="4"/>
  <c r="L79" i="4"/>
  <c r="AG50" i="4"/>
  <c r="AF50" i="4"/>
  <c r="AE50" i="4"/>
  <c r="AD50" i="4"/>
  <c r="AC50" i="4"/>
  <c r="AB50" i="4"/>
  <c r="AA50" i="4"/>
  <c r="Z50" i="4"/>
  <c r="Y50" i="4"/>
  <c r="X50" i="4"/>
  <c r="W50" i="4"/>
  <c r="V50" i="4"/>
  <c r="U50" i="4"/>
  <c r="T50" i="4"/>
  <c r="S50" i="4"/>
  <c r="R50" i="4"/>
  <c r="Q50" i="4"/>
  <c r="P50" i="4"/>
  <c r="O50" i="4"/>
  <c r="N50" i="4"/>
  <c r="M50" i="4"/>
  <c r="L50" i="4"/>
  <c r="AG49" i="4"/>
  <c r="AF49" i="4"/>
  <c r="AE49" i="4"/>
  <c r="AD49" i="4"/>
  <c r="AC49" i="4"/>
  <c r="AB49" i="4"/>
  <c r="AA49" i="4"/>
  <c r="Z49" i="4"/>
  <c r="Y49" i="4"/>
  <c r="X49" i="4"/>
  <c r="W49" i="4"/>
  <c r="V49" i="4"/>
  <c r="U49" i="4"/>
  <c r="T49" i="4"/>
  <c r="S49" i="4"/>
  <c r="R49" i="4"/>
  <c r="Q49" i="4"/>
  <c r="P49" i="4"/>
  <c r="O49" i="4"/>
  <c r="N49" i="4"/>
  <c r="M49" i="4"/>
  <c r="L49" i="4"/>
  <c r="AG45" i="4"/>
  <c r="AF45" i="4"/>
  <c r="AE45" i="4"/>
  <c r="AD45" i="4"/>
  <c r="AC45" i="4"/>
  <c r="AB45" i="4"/>
  <c r="AA45" i="4"/>
  <c r="Z45" i="4"/>
  <c r="Y45" i="4"/>
  <c r="X45" i="4"/>
  <c r="W45" i="4"/>
  <c r="V45" i="4"/>
  <c r="U45" i="4"/>
  <c r="T45" i="4"/>
  <c r="S45" i="4"/>
  <c r="R45" i="4"/>
  <c r="Q45" i="4"/>
  <c r="P45" i="4"/>
  <c r="O45" i="4"/>
  <c r="N45" i="4"/>
  <c r="M45" i="4"/>
  <c r="L45" i="4"/>
  <c r="AG44" i="4"/>
  <c r="AF44" i="4"/>
  <c r="AE44" i="4"/>
  <c r="AD44" i="4"/>
  <c r="AC44" i="4"/>
  <c r="AB44" i="4"/>
  <c r="AA44" i="4"/>
  <c r="Z44" i="4"/>
  <c r="Y44" i="4"/>
  <c r="X44" i="4"/>
  <c r="W44" i="4"/>
  <c r="V44" i="4"/>
  <c r="U44" i="4"/>
  <c r="T44" i="4"/>
  <c r="S44" i="4"/>
  <c r="R44" i="4"/>
  <c r="Q44" i="4"/>
  <c r="P44" i="4"/>
  <c r="O44" i="4"/>
  <c r="N44" i="4"/>
  <c r="M44" i="4"/>
  <c r="L44" i="4"/>
  <c r="AG43" i="4"/>
  <c r="AF43" i="4"/>
  <c r="AE43" i="4"/>
  <c r="AD43" i="4"/>
  <c r="AC43" i="4"/>
  <c r="AB43" i="4"/>
  <c r="AA43" i="4"/>
  <c r="Z43" i="4"/>
  <c r="Y43" i="4"/>
  <c r="X43" i="4"/>
  <c r="W43" i="4"/>
  <c r="V43" i="4"/>
  <c r="U43" i="4"/>
  <c r="T43" i="4"/>
  <c r="S43" i="4"/>
  <c r="R43" i="4"/>
  <c r="Q43" i="4"/>
  <c r="P43" i="4"/>
  <c r="O43" i="4"/>
  <c r="N43" i="4"/>
  <c r="M43" i="4"/>
  <c r="L43" i="4"/>
  <c r="AG42" i="4"/>
  <c r="AF42" i="4"/>
  <c r="AE42" i="4"/>
  <c r="AD42" i="4"/>
  <c r="AC42" i="4"/>
  <c r="AB42" i="4"/>
  <c r="AA42" i="4"/>
  <c r="Z42" i="4"/>
  <c r="Y42" i="4"/>
  <c r="X42" i="4"/>
  <c r="W42" i="4"/>
  <c r="V42" i="4"/>
  <c r="U42" i="4"/>
  <c r="T42" i="4"/>
  <c r="S42" i="4"/>
  <c r="R42" i="4"/>
  <c r="Q42" i="4"/>
  <c r="P42" i="4"/>
  <c r="O42" i="4"/>
  <c r="N42" i="4"/>
  <c r="M42" i="4"/>
  <c r="L42" i="4"/>
  <c r="AG41" i="4"/>
  <c r="AF41" i="4"/>
  <c r="AE41" i="4"/>
  <c r="AD41" i="4"/>
  <c r="AC41" i="4"/>
  <c r="AB41" i="4"/>
  <c r="AA41" i="4"/>
  <c r="Z41" i="4"/>
  <c r="Y41" i="4"/>
  <c r="X41" i="4"/>
  <c r="W41" i="4"/>
  <c r="V41" i="4"/>
  <c r="U41" i="4"/>
  <c r="T41" i="4"/>
  <c r="S41" i="4"/>
  <c r="R41" i="4"/>
  <c r="Q41" i="4"/>
  <c r="P41" i="4"/>
  <c r="O41" i="4"/>
  <c r="N41" i="4"/>
  <c r="M41" i="4"/>
  <c r="L41" i="4"/>
  <c r="AG40" i="4"/>
  <c r="AF40" i="4"/>
  <c r="AE40" i="4"/>
  <c r="AD40" i="4"/>
  <c r="AC40" i="4"/>
  <c r="AB40" i="4"/>
  <c r="AA40" i="4"/>
  <c r="Z40" i="4"/>
  <c r="Y40" i="4"/>
  <c r="X40" i="4"/>
  <c r="W40" i="4"/>
  <c r="V40" i="4"/>
  <c r="U40" i="4"/>
  <c r="T40" i="4"/>
  <c r="S40" i="4"/>
  <c r="R40" i="4"/>
  <c r="Q40" i="4"/>
  <c r="P40" i="4"/>
  <c r="O40" i="4"/>
  <c r="N40" i="4"/>
  <c r="M40" i="4"/>
  <c r="L40" i="4"/>
  <c r="AG32" i="4"/>
  <c r="AF32" i="4"/>
  <c r="AE32" i="4"/>
  <c r="AD32" i="4"/>
  <c r="AC32" i="4"/>
  <c r="AB32" i="4"/>
  <c r="AA32" i="4"/>
  <c r="Z32" i="4"/>
  <c r="Y32" i="4"/>
  <c r="X32" i="4"/>
  <c r="W32" i="4"/>
  <c r="V32" i="4"/>
  <c r="U32" i="4"/>
  <c r="T32" i="4"/>
  <c r="S32" i="4"/>
  <c r="R32" i="4"/>
  <c r="Q32" i="4"/>
  <c r="P32" i="4"/>
  <c r="O32" i="4"/>
  <c r="N32" i="4"/>
  <c r="M32" i="4"/>
  <c r="L32" i="4"/>
  <c r="AG31" i="4"/>
  <c r="AF31" i="4"/>
  <c r="AE31" i="4"/>
  <c r="AD31" i="4"/>
  <c r="AC31" i="4"/>
  <c r="AB31" i="4"/>
  <c r="AA31" i="4"/>
  <c r="Z31" i="4"/>
  <c r="Y31" i="4"/>
  <c r="X31" i="4"/>
  <c r="W31" i="4"/>
  <c r="V31" i="4"/>
  <c r="U31" i="4"/>
  <c r="T31" i="4"/>
  <c r="S31" i="4"/>
  <c r="R31" i="4"/>
  <c r="Q31" i="4"/>
  <c r="P31" i="4"/>
  <c r="O31" i="4"/>
  <c r="N31" i="4"/>
  <c r="M31" i="4"/>
  <c r="L31" i="4"/>
  <c r="AG30" i="4"/>
  <c r="AF30" i="4"/>
  <c r="AE30" i="4"/>
  <c r="AD30" i="4"/>
  <c r="AC30" i="4"/>
  <c r="AB30" i="4"/>
  <c r="AA30" i="4"/>
  <c r="Z30" i="4"/>
  <c r="Y30" i="4"/>
  <c r="X30" i="4"/>
  <c r="W30" i="4"/>
  <c r="V30" i="4"/>
  <c r="U30" i="4"/>
  <c r="T30" i="4"/>
  <c r="S30" i="4"/>
  <c r="R30" i="4"/>
  <c r="Q30" i="4"/>
  <c r="P30" i="4"/>
  <c r="O30" i="4"/>
  <c r="N30" i="4"/>
  <c r="M30" i="4"/>
  <c r="L30" i="4"/>
  <c r="AG29" i="4"/>
  <c r="AF29" i="4"/>
  <c r="AE29" i="4"/>
  <c r="AD29" i="4"/>
  <c r="AC29" i="4"/>
  <c r="AB29" i="4"/>
  <c r="AA29" i="4"/>
  <c r="Z29" i="4"/>
  <c r="Y29" i="4"/>
  <c r="X29" i="4"/>
  <c r="W29" i="4"/>
  <c r="V29" i="4"/>
  <c r="U29" i="4"/>
  <c r="T29" i="4"/>
  <c r="S29" i="4"/>
  <c r="R29" i="4"/>
  <c r="Q29" i="4"/>
  <c r="P29" i="4"/>
  <c r="O29" i="4"/>
  <c r="N29" i="4"/>
  <c r="M29" i="4"/>
  <c r="L29" i="4"/>
  <c r="AG28" i="4"/>
  <c r="AF28" i="4"/>
  <c r="AE28" i="4"/>
  <c r="AD28" i="4"/>
  <c r="AC28" i="4"/>
  <c r="AB28" i="4"/>
  <c r="AA28" i="4"/>
  <c r="Z28" i="4"/>
  <c r="Y28" i="4"/>
  <c r="X28" i="4"/>
  <c r="W28" i="4"/>
  <c r="V28" i="4"/>
  <c r="U28" i="4"/>
  <c r="T28" i="4"/>
  <c r="S28" i="4"/>
  <c r="R28" i="4"/>
  <c r="Q28" i="4"/>
  <c r="P28" i="4"/>
  <c r="O28" i="4"/>
  <c r="N28" i="4"/>
  <c r="M28" i="4"/>
  <c r="L28" i="4"/>
  <c r="AG21" i="4"/>
  <c r="AF21" i="4"/>
  <c r="AE21" i="4"/>
  <c r="AD21" i="4"/>
  <c r="AC21" i="4"/>
  <c r="AB21" i="4"/>
  <c r="AA21" i="4"/>
  <c r="Z21" i="4"/>
  <c r="Y21" i="4"/>
  <c r="X21" i="4"/>
  <c r="W21" i="4"/>
  <c r="V21" i="4"/>
  <c r="U21" i="4"/>
  <c r="T21" i="4"/>
  <c r="S21" i="4"/>
  <c r="R21" i="4"/>
  <c r="Q21" i="4"/>
  <c r="P21" i="4"/>
  <c r="O21" i="4"/>
  <c r="N21" i="4"/>
  <c r="M21" i="4"/>
  <c r="L21" i="4"/>
  <c r="AG20" i="4"/>
  <c r="AF20" i="4"/>
  <c r="AE20" i="4"/>
  <c r="AD20" i="4"/>
  <c r="AC20" i="4"/>
  <c r="AB20" i="4"/>
  <c r="AA20" i="4"/>
  <c r="Z20" i="4"/>
  <c r="Y20" i="4"/>
  <c r="X20" i="4"/>
  <c r="W20" i="4"/>
  <c r="V20" i="4"/>
  <c r="U20" i="4"/>
  <c r="T20" i="4"/>
  <c r="S20" i="4"/>
  <c r="R20" i="4"/>
  <c r="Q20" i="4"/>
  <c r="P20" i="4"/>
  <c r="O20" i="4"/>
  <c r="N20" i="4"/>
  <c r="M20" i="4"/>
  <c r="L20" i="4"/>
  <c r="T16" i="4"/>
  <c r="R16" i="4"/>
  <c r="S16" i="4"/>
  <c r="Q16" i="4"/>
  <c r="P16" i="4"/>
  <c r="Q36" i="4"/>
  <c r="P36" i="4"/>
  <c r="O36" i="4"/>
  <c r="L36" i="4"/>
  <c r="U58" i="4"/>
  <c r="V58" i="4"/>
  <c r="W58" i="4"/>
  <c r="X58" i="4"/>
  <c r="Z58" i="4"/>
  <c r="U66" i="4"/>
  <c r="V66" i="4"/>
  <c r="W66" i="4"/>
  <c r="X66" i="4"/>
  <c r="Z68" i="4"/>
  <c r="X68" i="4"/>
  <c r="W68" i="4"/>
  <c r="V68" i="4"/>
  <c r="AA59" i="4"/>
  <c r="Z59" i="4"/>
  <c r="Y59" i="4"/>
  <c r="X59" i="4"/>
  <c r="W59" i="4"/>
  <c r="V59" i="4"/>
  <c r="U59" i="4"/>
  <c r="O59" i="4"/>
  <c r="N59" i="4"/>
  <c r="M59" i="4"/>
  <c r="L59" i="4"/>
  <c r="X57" i="4"/>
  <c r="W57" i="4"/>
  <c r="V57" i="4"/>
  <c r="U57" i="4"/>
  <c r="AG16" i="4"/>
  <c r="AF16" i="4"/>
  <c r="AE16" i="4"/>
  <c r="AD16" i="4"/>
  <c r="AC16" i="4"/>
  <c r="AB16" i="4"/>
  <c r="AA16" i="4"/>
  <c r="Z16" i="4"/>
  <c r="Y16" i="4"/>
  <c r="X16" i="4"/>
  <c r="W16" i="4"/>
  <c r="V16" i="4"/>
  <c r="U16" i="4"/>
  <c r="Q17" i="4"/>
  <c r="O16" i="4"/>
  <c r="N16" i="4"/>
  <c r="M16" i="4"/>
  <c r="L16" i="4"/>
  <c r="U14" i="4"/>
  <c r="AA18" i="4"/>
  <c r="Z18" i="4"/>
  <c r="Y18" i="4"/>
  <c r="X18" i="4"/>
  <c r="W18" i="4"/>
  <c r="V18" i="4"/>
  <c r="U18" i="4"/>
  <c r="T18" i="4"/>
  <c r="S18" i="4"/>
  <c r="R18" i="4"/>
  <c r="Q18" i="4"/>
  <c r="P18" i="4"/>
  <c r="O18" i="4"/>
  <c r="N18" i="4"/>
  <c r="M18" i="4"/>
  <c r="L18" i="4"/>
  <c r="AA17" i="4"/>
  <c r="Z17" i="4"/>
  <c r="Y17" i="4"/>
  <c r="X17" i="4"/>
  <c r="W17" i="4"/>
  <c r="V17" i="4"/>
  <c r="U17" i="4"/>
  <c r="T17" i="4"/>
  <c r="S17" i="4"/>
  <c r="R17" i="4"/>
  <c r="P17" i="4"/>
  <c r="O17" i="4"/>
  <c r="N17" i="4"/>
  <c r="M17" i="4"/>
  <c r="L17" i="4"/>
  <c r="T15" i="4"/>
  <c r="T14" i="4"/>
  <c r="S15" i="4"/>
  <c r="S14" i="4"/>
  <c r="R15" i="4"/>
  <c r="R14" i="4"/>
  <c r="Q15" i="4"/>
  <c r="Q14" i="4"/>
  <c r="P15" i="4"/>
  <c r="P14" i="4"/>
  <c r="O15" i="4"/>
  <c r="O14" i="4"/>
  <c r="N15" i="4"/>
  <c r="N14" i="4"/>
  <c r="M15" i="4"/>
  <c r="M14" i="4"/>
  <c r="L15" i="4"/>
  <c r="L14" i="4"/>
  <c r="U15" i="4"/>
  <c r="AA15" i="4"/>
  <c r="AA14" i="4"/>
  <c r="Z15" i="4"/>
  <c r="Z14" i="4"/>
  <c r="Y15" i="4"/>
  <c r="Y14" i="4"/>
  <c r="X15" i="4"/>
  <c r="X14" i="4"/>
  <c r="W15" i="4"/>
  <c r="W14" i="4"/>
  <c r="V15" i="4"/>
  <c r="V14" i="4"/>
  <c r="F229" i="20"/>
  <c r="F139" i="23"/>
  <c r="I65" i="4" l="1"/>
  <c r="F236" i="22"/>
  <c r="J236" i="22" s="1"/>
  <c r="F235" i="22"/>
  <c r="J235" i="22" s="1"/>
  <c r="F234" i="22"/>
  <c r="J234" i="22" s="1"/>
  <c r="F233" i="22"/>
  <c r="J233" i="22" s="1"/>
  <c r="F230" i="22"/>
  <c r="J230" i="22" s="1"/>
  <c r="J244" i="22"/>
  <c r="J243" i="22"/>
  <c r="J223" i="22"/>
  <c r="J222" i="22"/>
  <c r="J221" i="22"/>
  <c r="F240" i="26"/>
  <c r="J240" i="26" s="1"/>
  <c r="F239" i="26"/>
  <c r="J239" i="26" s="1"/>
  <c r="F238" i="26"/>
  <c r="F236" i="26"/>
  <c r="J236" i="26" s="1"/>
  <c r="F235" i="26"/>
  <c r="J235" i="26" s="1"/>
  <c r="F234" i="26"/>
  <c r="J234" i="26" s="1"/>
  <c r="J249" i="26"/>
  <c r="J248" i="26"/>
  <c r="J238" i="26"/>
  <c r="J227" i="26"/>
  <c r="J226" i="26"/>
  <c r="J225" i="26"/>
  <c r="F396" i="26"/>
  <c r="F344" i="26"/>
  <c r="F343" i="26"/>
  <c r="F342" i="26"/>
  <c r="F340" i="26"/>
  <c r="F339" i="26"/>
  <c r="F338" i="26"/>
  <c r="F296" i="26"/>
  <c r="H296" i="26" s="1"/>
  <c r="L292" i="26"/>
  <c r="H292" i="26"/>
  <c r="L291" i="26"/>
  <c r="H291" i="26"/>
  <c r="J296" i="26"/>
  <c r="L296" i="26" s="1"/>
  <c r="L290" i="26"/>
  <c r="H290" i="26"/>
  <c r="J286" i="22"/>
  <c r="L286" i="22" s="1"/>
  <c r="F286" i="22"/>
  <c r="H286" i="22" s="1"/>
  <c r="L282" i="22"/>
  <c r="H282" i="22"/>
  <c r="F380" i="22"/>
  <c r="F347" i="25"/>
  <c r="F297" i="25"/>
  <c r="F296" i="25"/>
  <c r="F295" i="25"/>
  <c r="F294" i="25"/>
  <c r="F293" i="25"/>
  <c r="F292" i="25"/>
  <c r="F291" i="25"/>
  <c r="J265" i="21"/>
  <c r="F265" i="21"/>
  <c r="F278" i="20"/>
  <c r="H278" i="20" s="1"/>
  <c r="J182" i="24"/>
  <c r="F182" i="24"/>
  <c r="H182" i="24" s="1"/>
  <c r="H190" i="23"/>
  <c r="L182" i="24"/>
  <c r="S20" i="27"/>
  <c r="D23" i="27" s="1"/>
  <c r="S35" i="27"/>
  <c r="S36" i="27" s="1"/>
  <c r="G28" i="27" s="1"/>
  <c r="S32" i="27"/>
  <c r="D27" i="27" s="1"/>
  <c r="S29" i="27"/>
  <c r="S30" i="27" s="1"/>
  <c r="G26" i="27" s="1"/>
  <c r="S26" i="27"/>
  <c r="S27" i="27" s="1"/>
  <c r="G25" i="27" s="1"/>
  <c r="S23" i="27"/>
  <c r="S24" i="27" s="1"/>
  <c r="G24" i="27" s="1"/>
  <c r="S17" i="27"/>
  <c r="S18" i="27" s="1"/>
  <c r="G22" i="27" s="1"/>
  <c r="H9" i="20" s="1"/>
  <c r="F9" i="20" s="1"/>
  <c r="S21" i="27" l="1"/>
  <c r="G23" i="27" s="1"/>
  <c r="H9" i="23" s="1"/>
  <c r="F9" i="23" s="1"/>
  <c r="J9" i="23" s="1"/>
  <c r="S33" i="27"/>
  <c r="G27" i="27" s="1"/>
  <c r="F242" i="22" s="1"/>
  <c r="J242" i="22" s="1"/>
  <c r="J245" i="22" s="1"/>
  <c r="F29" i="22" s="1"/>
  <c r="H29" i="22" s="1"/>
  <c r="H9" i="21"/>
  <c r="F22" i="30"/>
  <c r="F27" i="22"/>
  <c r="J27" i="22" s="1"/>
  <c r="H9" i="24"/>
  <c r="F237" i="26"/>
  <c r="J237" i="26" s="1"/>
  <c r="J241" i="26" s="1"/>
  <c r="F341" i="26"/>
  <c r="F337" i="26"/>
  <c r="H9" i="26"/>
  <c r="F233" i="26"/>
  <c r="J233" i="26" s="1"/>
  <c r="F290" i="25"/>
  <c r="J290" i="25" s="1"/>
  <c r="H9" i="25"/>
  <c r="F18" i="30"/>
  <c r="D24" i="27"/>
  <c r="D28" i="27"/>
  <c r="F350" i="26" s="1"/>
  <c r="D25" i="27"/>
  <c r="D26" i="27"/>
  <c r="J224" i="22"/>
  <c r="J228" i="26"/>
  <c r="D22" i="27"/>
  <c r="Q16" i="26"/>
  <c r="Q17" i="26"/>
  <c r="Q15" i="26"/>
  <c r="O16" i="26"/>
  <c r="O17" i="26"/>
  <c r="O15" i="26"/>
  <c r="J343" i="26"/>
  <c r="J337" i="26"/>
  <c r="O16" i="22"/>
  <c r="O17" i="22"/>
  <c r="O15" i="22"/>
  <c r="Q16" i="22"/>
  <c r="Q17" i="22"/>
  <c r="Q15" i="22"/>
  <c r="F329" i="22"/>
  <c r="J329" i="22" s="1"/>
  <c r="F330" i="22"/>
  <c r="F328" i="22"/>
  <c r="F327" i="22"/>
  <c r="F325" i="22"/>
  <c r="F324" i="22"/>
  <c r="F220" i="20"/>
  <c r="F219" i="20"/>
  <c r="F218" i="20"/>
  <c r="F217" i="20"/>
  <c r="F133" i="23"/>
  <c r="F132" i="23"/>
  <c r="J132" i="23" s="1"/>
  <c r="F131" i="23"/>
  <c r="F128" i="23"/>
  <c r="F127" i="23"/>
  <c r="F126" i="23"/>
  <c r="J126" i="23" s="1"/>
  <c r="F127" i="24"/>
  <c r="F126" i="24"/>
  <c r="J126" i="24" s="1"/>
  <c r="F125" i="24"/>
  <c r="F124" i="24"/>
  <c r="F123" i="24"/>
  <c r="F122" i="24"/>
  <c r="F121" i="24"/>
  <c r="F120" i="24"/>
  <c r="J120" i="24" s="1"/>
  <c r="F213" i="21"/>
  <c r="F212" i="21"/>
  <c r="J212" i="21" s="1"/>
  <c r="F211" i="21"/>
  <c r="F210" i="21"/>
  <c r="F209" i="21"/>
  <c r="F208" i="21"/>
  <c r="F207" i="21"/>
  <c r="F206" i="21"/>
  <c r="J206" i="21" s="1"/>
  <c r="Q16" i="25"/>
  <c r="Q17" i="25"/>
  <c r="Q15" i="25"/>
  <c r="O16" i="25"/>
  <c r="O17" i="25"/>
  <c r="O15" i="25"/>
  <c r="J296" i="25"/>
  <c r="O16" i="24"/>
  <c r="O17" i="24"/>
  <c r="O15" i="24"/>
  <c r="Q16" i="24"/>
  <c r="Q17" i="24"/>
  <c r="Q15" i="24"/>
  <c r="Q16" i="21"/>
  <c r="Q17" i="21"/>
  <c r="Q15" i="21"/>
  <c r="O16" i="21"/>
  <c r="O17" i="21"/>
  <c r="O15" i="21"/>
  <c r="Q16" i="23"/>
  <c r="Q17" i="23"/>
  <c r="Q15" i="23"/>
  <c r="O16" i="23"/>
  <c r="O17" i="23"/>
  <c r="O15" i="23"/>
  <c r="F216" i="20"/>
  <c r="J216" i="20" s="1"/>
  <c r="F222" i="20"/>
  <c r="J222" i="20" s="1"/>
  <c r="F223" i="20"/>
  <c r="J223" i="20" s="1"/>
  <c r="Q16" i="20"/>
  <c r="Q17" i="20"/>
  <c r="Q15" i="20"/>
  <c r="O16" i="20"/>
  <c r="O17" i="20"/>
  <c r="O15" i="20"/>
  <c r="F221" i="20"/>
  <c r="Q15" i="41"/>
  <c r="Q16" i="41"/>
  <c r="Q17" i="41"/>
  <c r="Q14" i="41"/>
  <c r="O15" i="41"/>
  <c r="O16" i="41"/>
  <c r="O17" i="41"/>
  <c r="O14" i="41"/>
  <c r="F115" i="45"/>
  <c r="J115" i="45" s="1"/>
  <c r="F116" i="45"/>
  <c r="J116" i="45" s="1"/>
  <c r="F117" i="45"/>
  <c r="J117" i="45" s="1"/>
  <c r="F114" i="45"/>
  <c r="J114" i="45" s="1"/>
  <c r="F115" i="44"/>
  <c r="J115" i="44" s="1"/>
  <c r="F116" i="44"/>
  <c r="J116" i="44" s="1"/>
  <c r="F117" i="44"/>
  <c r="J117" i="44" s="1"/>
  <c r="F114" i="44"/>
  <c r="J114" i="44" s="1"/>
  <c r="F112" i="43"/>
  <c r="J112" i="43" s="1"/>
  <c r="F113" i="43"/>
  <c r="J113" i="43" s="1"/>
  <c r="F114" i="43"/>
  <c r="J114" i="43" s="1"/>
  <c r="F111" i="43"/>
  <c r="J111" i="43" s="1"/>
  <c r="F112" i="42"/>
  <c r="J112" i="42" s="1"/>
  <c r="F113" i="42"/>
  <c r="J113" i="42" s="1"/>
  <c r="F114" i="42"/>
  <c r="J114" i="42" s="1"/>
  <c r="F111" i="42"/>
  <c r="J111" i="42" s="1"/>
  <c r="F108" i="41"/>
  <c r="J108" i="41" s="1"/>
  <c r="F109" i="41"/>
  <c r="J109" i="41" s="1"/>
  <c r="F110" i="41"/>
  <c r="J110" i="41" s="1"/>
  <c r="F107" i="41"/>
  <c r="J107" i="41" s="1"/>
  <c r="H16" i="30"/>
  <c r="H15" i="30"/>
  <c r="Q15" i="42"/>
  <c r="Q16" i="42"/>
  <c r="Q17" i="42"/>
  <c r="Q14" i="42"/>
  <c r="O15" i="42"/>
  <c r="O16" i="42"/>
  <c r="O17" i="42"/>
  <c r="O14" i="42"/>
  <c r="F108" i="42"/>
  <c r="J108" i="42" s="1"/>
  <c r="F109" i="42"/>
  <c r="J109" i="42" s="1"/>
  <c r="F110" i="42"/>
  <c r="J110" i="42" s="1"/>
  <c r="F107" i="42"/>
  <c r="J107" i="42" s="1"/>
  <c r="F108" i="43"/>
  <c r="J108" i="43" s="1"/>
  <c r="F109" i="43"/>
  <c r="J109" i="43" s="1"/>
  <c r="F110" i="43"/>
  <c r="J110" i="43" s="1"/>
  <c r="F107" i="43"/>
  <c r="J107" i="43" s="1"/>
  <c r="H14" i="30"/>
  <c r="O15" i="43"/>
  <c r="O16" i="43"/>
  <c r="O17" i="43"/>
  <c r="O14" i="43"/>
  <c r="Q15" i="43"/>
  <c r="Q16" i="43"/>
  <c r="Q17" i="43"/>
  <c r="Q14" i="43"/>
  <c r="S18" i="45"/>
  <c r="Q15" i="44"/>
  <c r="Q16" i="44"/>
  <c r="Q17" i="44"/>
  <c r="Q14" i="44"/>
  <c r="O15" i="44"/>
  <c r="O16" i="44"/>
  <c r="O17" i="44"/>
  <c r="O14" i="44"/>
  <c r="F111" i="44"/>
  <c r="F112" i="44"/>
  <c r="J112" i="44" s="1"/>
  <c r="F113" i="44"/>
  <c r="J113" i="44" s="1"/>
  <c r="F110" i="44"/>
  <c r="J110" i="44" s="1"/>
  <c r="H9" i="45"/>
  <c r="Q15" i="45"/>
  <c r="Q16" i="45"/>
  <c r="Q17" i="45"/>
  <c r="Q14" i="45"/>
  <c r="O15" i="45"/>
  <c r="O16" i="45"/>
  <c r="O17" i="45"/>
  <c r="O14" i="45"/>
  <c r="F111" i="45"/>
  <c r="J111" i="45" s="1"/>
  <c r="F112" i="45"/>
  <c r="J112" i="45" s="1"/>
  <c r="F113" i="45"/>
  <c r="J113" i="45" s="1"/>
  <c r="F110" i="45"/>
  <c r="J110" i="45" s="1"/>
  <c r="F112" i="38"/>
  <c r="F113" i="38"/>
  <c r="F114" i="38"/>
  <c r="F115" i="34"/>
  <c r="J115" i="34" s="1"/>
  <c r="F116" i="34"/>
  <c r="J116" i="34" s="1"/>
  <c r="F117" i="34"/>
  <c r="F114" i="34"/>
  <c r="F114" i="33"/>
  <c r="F112" i="33"/>
  <c r="J112" i="33" s="1"/>
  <c r="F113" i="33"/>
  <c r="F111" i="33"/>
  <c r="J111" i="33" s="1"/>
  <c r="F114" i="32"/>
  <c r="J114" i="32" s="1"/>
  <c r="F115" i="32"/>
  <c r="F116" i="32"/>
  <c r="F113" i="32"/>
  <c r="J113" i="32" s="1"/>
  <c r="F111" i="38"/>
  <c r="Q15" i="38"/>
  <c r="Q16" i="38"/>
  <c r="Q17" i="38"/>
  <c r="Q14" i="38"/>
  <c r="O15" i="38"/>
  <c r="O16" i="38"/>
  <c r="O17" i="38"/>
  <c r="O14" i="38"/>
  <c r="F108" i="38"/>
  <c r="F109" i="38"/>
  <c r="F110" i="38"/>
  <c r="F107" i="38"/>
  <c r="H9" i="38"/>
  <c r="H9" i="32"/>
  <c r="Q15" i="32"/>
  <c r="Q16" i="32"/>
  <c r="Q14" i="32"/>
  <c r="O15" i="32"/>
  <c r="O16" i="32"/>
  <c r="O17" i="32"/>
  <c r="O14" i="32"/>
  <c r="F110" i="32"/>
  <c r="F111" i="32"/>
  <c r="F112" i="32"/>
  <c r="F109" i="32"/>
  <c r="F108" i="33"/>
  <c r="F109" i="33"/>
  <c r="F110" i="33"/>
  <c r="F107" i="33"/>
  <c r="H9" i="33"/>
  <c r="Q15" i="33"/>
  <c r="Q16" i="33"/>
  <c r="Q17" i="33"/>
  <c r="Q14" i="33"/>
  <c r="O15" i="33"/>
  <c r="O16" i="33"/>
  <c r="O17" i="33"/>
  <c r="O14" i="33"/>
  <c r="H9" i="34"/>
  <c r="Q15" i="34"/>
  <c r="Q16" i="34"/>
  <c r="Q17" i="34"/>
  <c r="Q14" i="34"/>
  <c r="O16" i="34"/>
  <c r="O17" i="34"/>
  <c r="O15" i="34"/>
  <c r="O14" i="34"/>
  <c r="F13" i="30"/>
  <c r="F14" i="30"/>
  <c r="F15" i="30"/>
  <c r="F16" i="30"/>
  <c r="F12" i="30"/>
  <c r="H16" i="45"/>
  <c r="F23" i="45"/>
  <c r="AC32" i="45" s="1"/>
  <c r="F22" i="45"/>
  <c r="J22" i="45" s="1"/>
  <c r="F21" i="45"/>
  <c r="AC30" i="45" s="1"/>
  <c r="F20" i="45"/>
  <c r="J20" i="45" s="1"/>
  <c r="F18" i="45"/>
  <c r="H18" i="45" s="1"/>
  <c r="F17" i="45"/>
  <c r="J17" i="45" s="1"/>
  <c r="F16" i="45"/>
  <c r="J16" i="45" s="1"/>
  <c r="F9" i="45"/>
  <c r="H12" i="30" s="1"/>
  <c r="J169" i="41"/>
  <c r="L169" i="41" s="1"/>
  <c r="F169" i="41"/>
  <c r="D137" i="41" s="1"/>
  <c r="L168" i="41"/>
  <c r="H168" i="41"/>
  <c r="L167" i="41"/>
  <c r="H167" i="41"/>
  <c r="L166" i="41"/>
  <c r="H166" i="41"/>
  <c r="L165" i="41"/>
  <c r="H165" i="41"/>
  <c r="L164" i="41"/>
  <c r="H164" i="41"/>
  <c r="L163" i="41"/>
  <c r="H163" i="41"/>
  <c r="L162" i="41"/>
  <c r="H162" i="41"/>
  <c r="L161" i="41"/>
  <c r="H161" i="41"/>
  <c r="L160" i="41"/>
  <c r="H160" i="41"/>
  <c r="L159" i="41"/>
  <c r="H159" i="41"/>
  <c r="L158" i="41"/>
  <c r="H158" i="41"/>
  <c r="L157" i="41"/>
  <c r="H157" i="41"/>
  <c r="L156" i="41"/>
  <c r="H156" i="41"/>
  <c r="L155" i="41"/>
  <c r="H155" i="41"/>
  <c r="L154" i="41"/>
  <c r="H154" i="41"/>
  <c r="L153" i="41"/>
  <c r="H153" i="41"/>
  <c r="J142" i="41"/>
  <c r="J141" i="41"/>
  <c r="J140" i="41"/>
  <c r="J139" i="41"/>
  <c r="J138" i="41"/>
  <c r="J136" i="41"/>
  <c r="J130" i="41"/>
  <c r="J129" i="41"/>
  <c r="J128" i="41"/>
  <c r="J131" i="41" s="1"/>
  <c r="J122" i="41"/>
  <c r="J121" i="41"/>
  <c r="J120" i="41"/>
  <c r="J123" i="41" s="1"/>
  <c r="J101" i="41"/>
  <c r="J100" i="41"/>
  <c r="J99" i="41"/>
  <c r="J98" i="41"/>
  <c r="J95" i="41"/>
  <c r="J94" i="41"/>
  <c r="J93" i="41"/>
  <c r="J92" i="41"/>
  <c r="J91" i="41"/>
  <c r="J90" i="41"/>
  <c r="J82" i="41"/>
  <c r="J81" i="41"/>
  <c r="J80" i="41"/>
  <c r="J79" i="41"/>
  <c r="J78" i="41"/>
  <c r="J73" i="41"/>
  <c r="J62" i="41"/>
  <c r="AB32" i="41"/>
  <c r="AB31" i="41"/>
  <c r="AB30" i="41"/>
  <c r="AB29" i="41"/>
  <c r="AC31" i="41"/>
  <c r="AC30" i="41"/>
  <c r="AC29" i="41"/>
  <c r="S18" i="41"/>
  <c r="O19" i="41" s="1"/>
  <c r="AC27" i="41"/>
  <c r="AC26" i="41"/>
  <c r="J169" i="42"/>
  <c r="L169" i="42" s="1"/>
  <c r="F169" i="42"/>
  <c r="D137" i="42" s="1"/>
  <c r="L168" i="42"/>
  <c r="H168" i="42"/>
  <c r="L167" i="42"/>
  <c r="H167" i="42"/>
  <c r="L166" i="42"/>
  <c r="H166" i="42"/>
  <c r="L165" i="42"/>
  <c r="H165" i="42"/>
  <c r="L164" i="42"/>
  <c r="H164" i="42"/>
  <c r="L163" i="42"/>
  <c r="H163" i="42"/>
  <c r="L162" i="42"/>
  <c r="H162" i="42"/>
  <c r="L161" i="42"/>
  <c r="H161" i="42"/>
  <c r="L160" i="42"/>
  <c r="H160" i="42"/>
  <c r="L159" i="42"/>
  <c r="H159" i="42"/>
  <c r="L158" i="42"/>
  <c r="H158" i="42"/>
  <c r="L157" i="42"/>
  <c r="H157" i="42"/>
  <c r="L156" i="42"/>
  <c r="H156" i="42"/>
  <c r="L155" i="42"/>
  <c r="H155" i="42"/>
  <c r="L154" i="42"/>
  <c r="H154" i="42"/>
  <c r="L153" i="42"/>
  <c r="H153" i="42"/>
  <c r="J142" i="42"/>
  <c r="J141" i="42"/>
  <c r="J140" i="42"/>
  <c r="J139" i="42"/>
  <c r="J138" i="42"/>
  <c r="J136" i="42"/>
  <c r="J130" i="42"/>
  <c r="J129" i="42"/>
  <c r="J128" i="42"/>
  <c r="J131" i="42" s="1"/>
  <c r="J122" i="42"/>
  <c r="J121" i="42"/>
  <c r="J120" i="42"/>
  <c r="J101" i="42"/>
  <c r="J100" i="42"/>
  <c r="J99" i="42"/>
  <c r="J98" i="42"/>
  <c r="J95" i="42"/>
  <c r="J94" i="42"/>
  <c r="J93" i="42"/>
  <c r="J92" i="42"/>
  <c r="J91" i="42"/>
  <c r="J90" i="42"/>
  <c r="J82" i="42"/>
  <c r="J81" i="42"/>
  <c r="J80" i="42"/>
  <c r="J79" i="42"/>
  <c r="J78" i="42"/>
  <c r="J73" i="42"/>
  <c r="J62" i="42"/>
  <c r="AB32" i="42"/>
  <c r="AB31" i="42"/>
  <c r="AB30" i="42"/>
  <c r="AB29" i="42"/>
  <c r="AB28" i="42"/>
  <c r="AB27" i="42"/>
  <c r="AB26" i="42"/>
  <c r="AC31" i="42"/>
  <c r="AC30" i="42"/>
  <c r="AC28" i="42"/>
  <c r="S18" i="42"/>
  <c r="O19" i="42" s="1"/>
  <c r="AC26" i="42"/>
  <c r="AC25" i="42"/>
  <c r="J169" i="43"/>
  <c r="L169" i="43" s="1"/>
  <c r="F169" i="43"/>
  <c r="D137" i="43" s="1"/>
  <c r="L168" i="43"/>
  <c r="H168" i="43"/>
  <c r="L167" i="43"/>
  <c r="H167" i="43"/>
  <c r="L166" i="43"/>
  <c r="H166" i="43"/>
  <c r="L165" i="43"/>
  <c r="H165" i="43"/>
  <c r="L164" i="43"/>
  <c r="H164" i="43"/>
  <c r="L163" i="43"/>
  <c r="H163" i="43"/>
  <c r="L162" i="43"/>
  <c r="H162" i="43"/>
  <c r="L161" i="43"/>
  <c r="H161" i="43"/>
  <c r="L160" i="43"/>
  <c r="H160" i="43"/>
  <c r="L159" i="43"/>
  <c r="H159" i="43"/>
  <c r="L158" i="43"/>
  <c r="H158" i="43"/>
  <c r="L157" i="43"/>
  <c r="H157" i="43"/>
  <c r="L156" i="43"/>
  <c r="H156" i="43"/>
  <c r="L155" i="43"/>
  <c r="H155" i="43"/>
  <c r="L154" i="43"/>
  <c r="H154" i="43"/>
  <c r="L153" i="43"/>
  <c r="H153" i="43"/>
  <c r="J142" i="43"/>
  <c r="J141" i="43"/>
  <c r="J140" i="43"/>
  <c r="J139" i="43"/>
  <c r="J138" i="43"/>
  <c r="J136" i="43"/>
  <c r="J130" i="43"/>
  <c r="J129" i="43"/>
  <c r="J128" i="43"/>
  <c r="J122" i="43"/>
  <c r="J121" i="43"/>
  <c r="J120" i="43"/>
  <c r="J101" i="43"/>
  <c r="J100" i="43"/>
  <c r="J99" i="43"/>
  <c r="J98" i="43"/>
  <c r="J95" i="43"/>
  <c r="J94" i="43"/>
  <c r="J93" i="43"/>
  <c r="J92" i="43"/>
  <c r="J91" i="43"/>
  <c r="J90" i="43"/>
  <c r="J82" i="43"/>
  <c r="J81" i="43"/>
  <c r="J80" i="43"/>
  <c r="J79" i="43"/>
  <c r="J83" i="43" s="1"/>
  <c r="J78" i="43"/>
  <c r="J73" i="43"/>
  <c r="F62" i="43"/>
  <c r="AC39" i="43" s="1"/>
  <c r="AB32" i="43"/>
  <c r="AB31" i="43"/>
  <c r="AB30" i="43"/>
  <c r="AB29" i="43"/>
  <c r="AB28" i="43"/>
  <c r="AB27" i="43"/>
  <c r="AB26" i="43"/>
  <c r="AC31" i="43"/>
  <c r="AC30" i="43"/>
  <c r="AC28" i="43"/>
  <c r="S18" i="43"/>
  <c r="O19" i="43" s="1"/>
  <c r="AC26" i="43"/>
  <c r="J173" i="44"/>
  <c r="L173" i="44" s="1"/>
  <c r="F173" i="44"/>
  <c r="H173" i="44" s="1"/>
  <c r="L156" i="44"/>
  <c r="L157" i="44" s="1"/>
  <c r="L158" i="44" s="1"/>
  <c r="L159" i="44" s="1"/>
  <c r="L160" i="44" s="1"/>
  <c r="L161" i="44" s="1"/>
  <c r="L162" i="44" s="1"/>
  <c r="L163" i="44" s="1"/>
  <c r="L164" i="44" s="1"/>
  <c r="L165" i="44" s="1"/>
  <c r="L166" i="44" s="1"/>
  <c r="L167" i="44" s="1"/>
  <c r="L168" i="44" s="1"/>
  <c r="L169" i="44" s="1"/>
  <c r="L170" i="44" s="1"/>
  <c r="L171" i="44" s="1"/>
  <c r="L172" i="44" s="1"/>
  <c r="H156" i="44"/>
  <c r="H157" i="44" s="1"/>
  <c r="H158" i="44" s="1"/>
  <c r="H159" i="44" s="1"/>
  <c r="H160" i="44" s="1"/>
  <c r="H161" i="44" s="1"/>
  <c r="H162" i="44" s="1"/>
  <c r="H163" i="44" s="1"/>
  <c r="H164" i="44" s="1"/>
  <c r="H165" i="44" s="1"/>
  <c r="H166" i="44" s="1"/>
  <c r="H167" i="44" s="1"/>
  <c r="H168" i="44" s="1"/>
  <c r="H169" i="44" s="1"/>
  <c r="H170" i="44" s="1"/>
  <c r="H171" i="44" s="1"/>
  <c r="H172" i="44" s="1"/>
  <c r="J145" i="44"/>
  <c r="J144" i="44"/>
  <c r="J143" i="44"/>
  <c r="J142" i="44"/>
  <c r="J141" i="44"/>
  <c r="D140" i="44"/>
  <c r="D141" i="44" s="1"/>
  <c r="J139" i="44"/>
  <c r="J133" i="44"/>
  <c r="J132" i="44"/>
  <c r="J131" i="44"/>
  <c r="J125" i="44"/>
  <c r="J124" i="44"/>
  <c r="J123" i="44"/>
  <c r="J126" i="44" s="1"/>
  <c r="J111" i="44"/>
  <c r="J104" i="44"/>
  <c r="J103" i="44"/>
  <c r="J102" i="44"/>
  <c r="J101" i="44"/>
  <c r="J100" i="44"/>
  <c r="J97" i="44"/>
  <c r="J96" i="44"/>
  <c r="J95" i="44"/>
  <c r="J94" i="44"/>
  <c r="J93" i="44"/>
  <c r="J92" i="44"/>
  <c r="J91" i="44"/>
  <c r="J83" i="44"/>
  <c r="J82" i="44"/>
  <c r="J81" i="44"/>
  <c r="J80" i="44"/>
  <c r="J79" i="44"/>
  <c r="J78" i="44"/>
  <c r="J84" i="44" s="1"/>
  <c r="J73" i="44"/>
  <c r="F62" i="44"/>
  <c r="AC39" i="44" s="1"/>
  <c r="AB32" i="44"/>
  <c r="AB31" i="44"/>
  <c r="AB30" i="44"/>
  <c r="AB29" i="44"/>
  <c r="AB28" i="44"/>
  <c r="AB27" i="44"/>
  <c r="AB26" i="44"/>
  <c r="AC32" i="44"/>
  <c r="AC31" i="44"/>
  <c r="AC29" i="44"/>
  <c r="S18" i="44"/>
  <c r="O19" i="44" s="1"/>
  <c r="AC27" i="44"/>
  <c r="AC26" i="44"/>
  <c r="H13" i="30"/>
  <c r="J173" i="45"/>
  <c r="L173" i="45" s="1"/>
  <c r="F173" i="45"/>
  <c r="H173" i="45" s="1"/>
  <c r="L157" i="45"/>
  <c r="L158" i="45" s="1"/>
  <c r="L159" i="45" s="1"/>
  <c r="L160" i="45" s="1"/>
  <c r="L161" i="45" s="1"/>
  <c r="L162" i="45" s="1"/>
  <c r="L163" i="45" s="1"/>
  <c r="L164" i="45" s="1"/>
  <c r="L165" i="45" s="1"/>
  <c r="L166" i="45" s="1"/>
  <c r="L167" i="45" s="1"/>
  <c r="L168" i="45" s="1"/>
  <c r="L169" i="45" s="1"/>
  <c r="L170" i="45" s="1"/>
  <c r="L171" i="45" s="1"/>
  <c r="L172" i="45" s="1"/>
  <c r="H157" i="45"/>
  <c r="H158" i="45" s="1"/>
  <c r="H159" i="45" s="1"/>
  <c r="H160" i="45" s="1"/>
  <c r="H161" i="45" s="1"/>
  <c r="H162" i="45" s="1"/>
  <c r="H163" i="45" s="1"/>
  <c r="H164" i="45" s="1"/>
  <c r="H165" i="45" s="1"/>
  <c r="H166" i="45" s="1"/>
  <c r="H167" i="45" s="1"/>
  <c r="H168" i="45" s="1"/>
  <c r="H169" i="45" s="1"/>
  <c r="H170" i="45" s="1"/>
  <c r="H171" i="45" s="1"/>
  <c r="H172" i="45" s="1"/>
  <c r="L156" i="45"/>
  <c r="H156" i="45"/>
  <c r="J145" i="45"/>
  <c r="J144" i="45"/>
  <c r="J143" i="45"/>
  <c r="J142" i="45"/>
  <c r="J141" i="45"/>
  <c r="D140" i="45"/>
  <c r="D141" i="45" s="1"/>
  <c r="J139" i="45"/>
  <c r="J133" i="45"/>
  <c r="J132" i="45"/>
  <c r="J131" i="45"/>
  <c r="J134" i="45" s="1"/>
  <c r="J125" i="45"/>
  <c r="J124" i="45"/>
  <c r="J123" i="45"/>
  <c r="J126" i="45" s="1"/>
  <c r="J104" i="45"/>
  <c r="J103" i="45"/>
  <c r="J102" i="45"/>
  <c r="J101" i="45"/>
  <c r="J100" i="45"/>
  <c r="J97" i="45"/>
  <c r="J96" i="45"/>
  <c r="J95" i="45"/>
  <c r="J94" i="45"/>
  <c r="J93" i="45"/>
  <c r="J92" i="45"/>
  <c r="J91" i="45"/>
  <c r="J105" i="45" s="1"/>
  <c r="J83" i="45"/>
  <c r="J82" i="45"/>
  <c r="J81" i="45"/>
  <c r="J80" i="45"/>
  <c r="J79" i="45"/>
  <c r="J78" i="45"/>
  <c r="J73" i="45"/>
  <c r="F62" i="45"/>
  <c r="AC39" i="45" s="1"/>
  <c r="AB32" i="45"/>
  <c r="AB31" i="45"/>
  <c r="AB30" i="45"/>
  <c r="AB29" i="45"/>
  <c r="AB28" i="45"/>
  <c r="AB27" i="45"/>
  <c r="AB26" i="45"/>
  <c r="O19" i="45"/>
  <c r="J166" i="21"/>
  <c r="J190" i="23"/>
  <c r="L190" i="23" s="1"/>
  <c r="F24" i="23" s="1"/>
  <c r="J278" i="20"/>
  <c r="L278" i="20" s="1"/>
  <c r="H21" i="45" l="1"/>
  <c r="H17" i="45"/>
  <c r="J23" i="45"/>
  <c r="H20" i="45"/>
  <c r="H22" i="45"/>
  <c r="H23" i="45"/>
  <c r="H62" i="44"/>
  <c r="H62" i="45"/>
  <c r="H62" i="43"/>
  <c r="H62" i="42"/>
  <c r="H62" i="41"/>
  <c r="F130" i="23"/>
  <c r="F129" i="23"/>
  <c r="J371" i="22"/>
  <c r="H9" i="22"/>
  <c r="F9" i="22" s="1"/>
  <c r="H24" i="23"/>
  <c r="F323" i="22"/>
  <c r="J323" i="22" s="1"/>
  <c r="F231" i="22"/>
  <c r="J231" i="22" s="1"/>
  <c r="H27" i="22"/>
  <c r="F232" i="22"/>
  <c r="J232" i="22" s="1"/>
  <c r="F326" i="22"/>
  <c r="F229" i="22"/>
  <c r="J229" i="22" s="1"/>
  <c r="F336" i="22"/>
  <c r="F28" i="26"/>
  <c r="H28" i="26" s="1"/>
  <c r="F19" i="30"/>
  <c r="F9" i="21"/>
  <c r="J9" i="21" s="1"/>
  <c r="F9" i="25"/>
  <c r="F311" i="25"/>
  <c r="F35" i="25"/>
  <c r="F21" i="30"/>
  <c r="F303" i="25"/>
  <c r="F9" i="26"/>
  <c r="F219" i="21"/>
  <c r="F23" i="24"/>
  <c r="H23" i="24" s="1"/>
  <c r="F16" i="24"/>
  <c r="H16" i="24" s="1"/>
  <c r="F21" i="24"/>
  <c r="H21" i="24" s="1"/>
  <c r="F15" i="24"/>
  <c r="H15" i="24" s="1"/>
  <c r="F20" i="30"/>
  <c r="F18" i="24"/>
  <c r="H18" i="24" s="1"/>
  <c r="F17" i="24"/>
  <c r="H17" i="24" s="1"/>
  <c r="F9" i="24"/>
  <c r="J9" i="24" s="1"/>
  <c r="J254" i="21"/>
  <c r="F17" i="30"/>
  <c r="F23" i="30"/>
  <c r="F38" i="26"/>
  <c r="F27" i="26"/>
  <c r="F247" i="26"/>
  <c r="J247" i="26" s="1"/>
  <c r="J250" i="26" s="1"/>
  <c r="F29" i="26" s="1"/>
  <c r="J9" i="20"/>
  <c r="J387" i="26"/>
  <c r="F133" i="24"/>
  <c r="J29" i="22"/>
  <c r="AC29" i="45"/>
  <c r="J18" i="45"/>
  <c r="AC31" i="45"/>
  <c r="F113" i="41"/>
  <c r="J113" i="41" s="1"/>
  <c r="F112" i="41"/>
  <c r="J112" i="41" s="1"/>
  <c r="F62" i="41"/>
  <c r="J83" i="41"/>
  <c r="J102" i="41"/>
  <c r="J16" i="30"/>
  <c r="AC27" i="42"/>
  <c r="J123" i="42"/>
  <c r="AC29" i="42" s="1"/>
  <c r="F62" i="42"/>
  <c r="J83" i="42"/>
  <c r="J102" i="42"/>
  <c r="J62" i="43"/>
  <c r="J102" i="43"/>
  <c r="J131" i="43"/>
  <c r="AC25" i="43"/>
  <c r="J123" i="43"/>
  <c r="AC29" i="43" s="1"/>
  <c r="J14" i="30"/>
  <c r="H93" i="30"/>
  <c r="AC27" i="43"/>
  <c r="J105" i="44"/>
  <c r="J134" i="44"/>
  <c r="H92" i="30"/>
  <c r="AC26" i="45"/>
  <c r="J84" i="45"/>
  <c r="J21" i="45"/>
  <c r="H91" i="30"/>
  <c r="J13" i="30"/>
  <c r="J15" i="30"/>
  <c r="J12" i="30"/>
  <c r="F137" i="41"/>
  <c r="J137" i="41" s="1"/>
  <c r="D138" i="41"/>
  <c r="J143" i="41"/>
  <c r="H169" i="41"/>
  <c r="AC32" i="41"/>
  <c r="AC25" i="41"/>
  <c r="F114" i="41"/>
  <c r="J114" i="41" s="1"/>
  <c r="J115" i="42"/>
  <c r="F137" i="42"/>
  <c r="J137" i="42" s="1"/>
  <c r="J143" i="42" s="1"/>
  <c r="D138" i="42"/>
  <c r="AC32" i="42"/>
  <c r="H169" i="42"/>
  <c r="J115" i="43"/>
  <c r="F137" i="43"/>
  <c r="J137" i="43" s="1"/>
  <c r="J143" i="43" s="1"/>
  <c r="D138" i="43"/>
  <c r="AC32" i="43"/>
  <c r="H169" i="43"/>
  <c r="F24" i="43"/>
  <c r="H43" i="30" s="1"/>
  <c r="J118" i="44"/>
  <c r="F19" i="44" s="1"/>
  <c r="AC27" i="45"/>
  <c r="F24" i="44"/>
  <c r="H42" i="30" s="1"/>
  <c r="J118" i="45"/>
  <c r="F19" i="45" s="1"/>
  <c r="F24" i="45" s="1"/>
  <c r="H41" i="30" s="1"/>
  <c r="AC30" i="44"/>
  <c r="AC25" i="44"/>
  <c r="F140" i="44"/>
  <c r="J140" i="44" s="1"/>
  <c r="J146" i="44" s="1"/>
  <c r="J62" i="44"/>
  <c r="J9" i="45"/>
  <c r="AC25" i="45"/>
  <c r="F140" i="45"/>
  <c r="J140" i="45" s="1"/>
  <c r="J146" i="45" s="1"/>
  <c r="J60" i="45"/>
  <c r="J62" i="45" s="1"/>
  <c r="F20" i="37"/>
  <c r="F20" i="28"/>
  <c r="AC27" i="28" s="1"/>
  <c r="Z57" i="4"/>
  <c r="AH37" i="4"/>
  <c r="AH38" i="4"/>
  <c r="AH39" i="4"/>
  <c r="AH36" i="4"/>
  <c r="I37" i="4"/>
  <c r="E37" i="4"/>
  <c r="B37" i="4"/>
  <c r="I47" i="4"/>
  <c r="E47" i="4"/>
  <c r="B47" i="4"/>
  <c r="I36" i="4"/>
  <c r="I38" i="4"/>
  <c r="I39" i="4"/>
  <c r="B38" i="4"/>
  <c r="E38" i="4"/>
  <c r="B39" i="4"/>
  <c r="E39" i="4"/>
  <c r="B36" i="4"/>
  <c r="E36" i="4"/>
  <c r="I48" i="4"/>
  <c r="J48" i="4"/>
  <c r="B48" i="4"/>
  <c r="E48" i="4"/>
  <c r="I20" i="4"/>
  <c r="E20" i="4"/>
  <c r="B20" i="4"/>
  <c r="F56" i="30"/>
  <c r="F81" i="30" s="1"/>
  <c r="F27" i="30"/>
  <c r="F58" i="36"/>
  <c r="F58" i="39"/>
  <c r="H58" i="39" s="1"/>
  <c r="F20" i="29"/>
  <c r="F20" i="35"/>
  <c r="F20" i="36"/>
  <c r="F20" i="39"/>
  <c r="J20" i="39" s="1"/>
  <c r="F21" i="39"/>
  <c r="H21" i="39" s="1"/>
  <c r="F19" i="39"/>
  <c r="J19" i="39" s="1"/>
  <c r="F18" i="39"/>
  <c r="J18" i="39" s="1"/>
  <c r="F17" i="39"/>
  <c r="J17" i="39" s="1"/>
  <c r="F16" i="39"/>
  <c r="H16" i="39" s="1"/>
  <c r="H9" i="39"/>
  <c r="F9" i="39" s="1"/>
  <c r="J9" i="39" s="1"/>
  <c r="J134" i="39"/>
  <c r="L134" i="39" s="1"/>
  <c r="F134" i="39"/>
  <c r="D112" i="39" s="1"/>
  <c r="L133" i="39"/>
  <c r="H133" i="39"/>
  <c r="L132" i="39"/>
  <c r="H132" i="39"/>
  <c r="L131" i="39"/>
  <c r="H131" i="39"/>
  <c r="L130" i="39"/>
  <c r="H130" i="39"/>
  <c r="L129" i="39"/>
  <c r="H129" i="39"/>
  <c r="L128" i="39"/>
  <c r="H128" i="39"/>
  <c r="J117" i="39"/>
  <c r="J116" i="39"/>
  <c r="J115" i="39"/>
  <c r="J114" i="39"/>
  <c r="J113" i="39"/>
  <c r="J111" i="39"/>
  <c r="J105" i="39"/>
  <c r="J104" i="39"/>
  <c r="H103" i="39"/>
  <c r="J103" i="39" s="1"/>
  <c r="J106" i="39" s="1"/>
  <c r="J102" i="39"/>
  <c r="J96" i="39"/>
  <c r="J95" i="39"/>
  <c r="J94" i="39"/>
  <c r="J91" i="39"/>
  <c r="J90" i="39"/>
  <c r="J89" i="39"/>
  <c r="J88" i="39"/>
  <c r="J87" i="39"/>
  <c r="J97" i="39" s="1"/>
  <c r="J78" i="39"/>
  <c r="J79" i="39" s="1"/>
  <c r="J77" i="39"/>
  <c r="J72" i="39"/>
  <c r="J71" i="39"/>
  <c r="F40" i="30"/>
  <c r="F65" i="30" s="1"/>
  <c r="F60" i="38"/>
  <c r="H90" i="30" s="1"/>
  <c r="F22" i="32"/>
  <c r="F22" i="33"/>
  <c r="F22" i="34"/>
  <c r="F22" i="38"/>
  <c r="J22" i="38" s="1"/>
  <c r="F23" i="38"/>
  <c r="J23" i="38" s="1"/>
  <c r="F21" i="38"/>
  <c r="J21" i="38" s="1"/>
  <c r="F20" i="38"/>
  <c r="H20" i="38" s="1"/>
  <c r="F18" i="38"/>
  <c r="J18" i="38" s="1"/>
  <c r="F17" i="38"/>
  <c r="J17" i="38" s="1"/>
  <c r="F16" i="38"/>
  <c r="J16" i="38" s="1"/>
  <c r="F9" i="38"/>
  <c r="H11" i="30" s="1"/>
  <c r="F11" i="30"/>
  <c r="L154" i="38"/>
  <c r="L155" i="38"/>
  <c r="L156" i="38"/>
  <c r="L157" i="38"/>
  <c r="L158" i="38"/>
  <c r="L159" i="38"/>
  <c r="L160" i="38"/>
  <c r="L161" i="38"/>
  <c r="L162" i="38"/>
  <c r="L163" i="38"/>
  <c r="L164" i="38"/>
  <c r="L165" i="38"/>
  <c r="L166" i="38"/>
  <c r="L167" i="38"/>
  <c r="L168" i="38"/>
  <c r="L153" i="38"/>
  <c r="H168" i="38"/>
  <c r="H154" i="38"/>
  <c r="H155" i="38"/>
  <c r="H156" i="38"/>
  <c r="H157" i="38"/>
  <c r="H158" i="38"/>
  <c r="H159" i="38"/>
  <c r="H160" i="38"/>
  <c r="H161" i="38"/>
  <c r="H162" i="38"/>
  <c r="H163" i="38"/>
  <c r="H164" i="38"/>
  <c r="H165" i="38"/>
  <c r="H166" i="38"/>
  <c r="H167" i="38"/>
  <c r="H153" i="38"/>
  <c r="J91" i="38"/>
  <c r="J92" i="38"/>
  <c r="J169" i="38"/>
  <c r="L169" i="38" s="1"/>
  <c r="F169" i="38"/>
  <c r="H169" i="38" s="1"/>
  <c r="J142" i="38"/>
  <c r="J141" i="38"/>
  <c r="J140" i="38"/>
  <c r="J139" i="38"/>
  <c r="J138" i="38"/>
  <c r="D137" i="38"/>
  <c r="D138" i="38" s="1"/>
  <c r="J136" i="38"/>
  <c r="J130" i="38"/>
  <c r="J129" i="38"/>
  <c r="J128" i="38"/>
  <c r="J122" i="38"/>
  <c r="J121" i="38"/>
  <c r="F120" i="38"/>
  <c r="J120" i="38" s="1"/>
  <c r="J110" i="38"/>
  <c r="J109" i="38"/>
  <c r="J108" i="38"/>
  <c r="J107" i="38"/>
  <c r="J101" i="38"/>
  <c r="J100" i="38"/>
  <c r="J99" i="38"/>
  <c r="J98" i="38"/>
  <c r="J97" i="38"/>
  <c r="J94" i="38"/>
  <c r="J93" i="38"/>
  <c r="J90" i="38"/>
  <c r="J89" i="38"/>
  <c r="J81" i="38"/>
  <c r="J80" i="38"/>
  <c r="J79" i="38"/>
  <c r="J78" i="38"/>
  <c r="J73" i="38"/>
  <c r="AB32" i="38"/>
  <c r="AB31" i="38"/>
  <c r="AB30" i="38"/>
  <c r="AB29" i="38"/>
  <c r="AB28" i="38"/>
  <c r="AB27" i="38"/>
  <c r="AB26" i="38"/>
  <c r="S18" i="38"/>
  <c r="O19" i="38" s="1"/>
  <c r="L167" i="24"/>
  <c r="L168" i="24"/>
  <c r="H167" i="24"/>
  <c r="H168" i="24"/>
  <c r="H166" i="24"/>
  <c r="L166" i="24"/>
  <c r="J89" i="24"/>
  <c r="J88" i="24"/>
  <c r="J87" i="24"/>
  <c r="J75" i="24"/>
  <c r="J74" i="24"/>
  <c r="J73" i="24"/>
  <c r="J76" i="23"/>
  <c r="J75" i="23"/>
  <c r="J74" i="23"/>
  <c r="L173" i="24"/>
  <c r="L174" i="24"/>
  <c r="L175" i="24"/>
  <c r="L176" i="24"/>
  <c r="L177" i="24"/>
  <c r="L178" i="24"/>
  <c r="L179" i="24"/>
  <c r="L180" i="24"/>
  <c r="L181" i="24"/>
  <c r="L172" i="24"/>
  <c r="L170" i="24"/>
  <c r="L169" i="24"/>
  <c r="H173" i="24"/>
  <c r="H174" i="24"/>
  <c r="H175" i="24"/>
  <c r="H176" i="24"/>
  <c r="H177" i="24"/>
  <c r="H178" i="24"/>
  <c r="H179" i="24"/>
  <c r="H180" i="24"/>
  <c r="H181" i="24"/>
  <c r="H172" i="24"/>
  <c r="H169" i="24"/>
  <c r="H170" i="24" s="1"/>
  <c r="AC28" i="44" l="1"/>
  <c r="J19" i="44"/>
  <c r="H24" i="44"/>
  <c r="J19" i="45"/>
  <c r="AC28" i="45"/>
  <c r="H19" i="45"/>
  <c r="H24" i="45" s="1"/>
  <c r="H24" i="42"/>
  <c r="F24" i="42"/>
  <c r="H44" i="30" s="1"/>
  <c r="J24" i="42"/>
  <c r="H24" i="43"/>
  <c r="J237" i="22"/>
  <c r="F28" i="22" s="1"/>
  <c r="H28" i="22" s="1"/>
  <c r="J28" i="26"/>
  <c r="H29" i="26"/>
  <c r="J29" i="26"/>
  <c r="J27" i="26"/>
  <c r="H27" i="26"/>
  <c r="DB20" i="4"/>
  <c r="BS48" i="4"/>
  <c r="BI48" i="4"/>
  <c r="BM48" i="4"/>
  <c r="BJ48" i="4"/>
  <c r="BK48" i="4"/>
  <c r="BL48" i="4"/>
  <c r="AO48" i="4"/>
  <c r="AP48" i="4"/>
  <c r="AM48" i="4"/>
  <c r="AQ48" i="4"/>
  <c r="AN48" i="4"/>
  <c r="BP36" i="4"/>
  <c r="BI36" i="4"/>
  <c r="BM36" i="4"/>
  <c r="BL36" i="4"/>
  <c r="AO36" i="4"/>
  <c r="AP36" i="4"/>
  <c r="BJ36" i="4"/>
  <c r="AM36" i="4"/>
  <c r="AQ36" i="4"/>
  <c r="BK36" i="4"/>
  <c r="AN36" i="4"/>
  <c r="BR38" i="4"/>
  <c r="BK38" i="4"/>
  <c r="BJ38" i="4"/>
  <c r="BL38" i="4"/>
  <c r="AM38" i="4"/>
  <c r="AQ38" i="4"/>
  <c r="BM38" i="4"/>
  <c r="AN38" i="4"/>
  <c r="AO38" i="4"/>
  <c r="BI38" i="4"/>
  <c r="AP38" i="4"/>
  <c r="CY36" i="4"/>
  <c r="DC36" i="4"/>
  <c r="DD36" i="4"/>
  <c r="DE36" i="4"/>
  <c r="DB36" i="4"/>
  <c r="CI36" i="4"/>
  <c r="CG36" i="4"/>
  <c r="CH36" i="4"/>
  <c r="CF36" i="4"/>
  <c r="DA36" i="4"/>
  <c r="CE36" i="4"/>
  <c r="BL20" i="4"/>
  <c r="BI20" i="4"/>
  <c r="BM20" i="4"/>
  <c r="BJ20" i="4"/>
  <c r="BK20" i="4"/>
  <c r="BN20" i="4"/>
  <c r="BR20" i="4"/>
  <c r="BV20" i="4"/>
  <c r="BZ20" i="4"/>
  <c r="BA20" i="4"/>
  <c r="AK20" i="4"/>
  <c r="AO20" i="4"/>
  <c r="AS20" i="4"/>
  <c r="AW20" i="4"/>
  <c r="BO20" i="4"/>
  <c r="BS20" i="4"/>
  <c r="BW20" i="4"/>
  <c r="BF20" i="4"/>
  <c r="BB20" i="4"/>
  <c r="AL20" i="4"/>
  <c r="AP20" i="4"/>
  <c r="AT20" i="4"/>
  <c r="AX20" i="4"/>
  <c r="AI20" i="4"/>
  <c r="BG20" i="4"/>
  <c r="BP20" i="4"/>
  <c r="BT20" i="4"/>
  <c r="BX20" i="4"/>
  <c r="BE20" i="4"/>
  <c r="BC20" i="4"/>
  <c r="AM20" i="4"/>
  <c r="AQ20" i="4"/>
  <c r="AU20" i="4"/>
  <c r="AY20" i="4"/>
  <c r="BH20" i="4"/>
  <c r="BQ20" i="4"/>
  <c r="BU20" i="4"/>
  <c r="BY20" i="4"/>
  <c r="AZ20" i="4"/>
  <c r="BD20" i="4"/>
  <c r="AN20" i="4"/>
  <c r="AR20" i="4"/>
  <c r="AV20" i="4"/>
  <c r="AJ20" i="4"/>
  <c r="BP37" i="4"/>
  <c r="BL37" i="4"/>
  <c r="BK37" i="4"/>
  <c r="BI37" i="4"/>
  <c r="AN37" i="4"/>
  <c r="BJ37" i="4"/>
  <c r="AO37" i="4"/>
  <c r="BM37" i="4"/>
  <c r="AP37" i="4"/>
  <c r="AM37" i="4"/>
  <c r="AQ37" i="4"/>
  <c r="DA20" i="4"/>
  <c r="DC20" i="4"/>
  <c r="DD20" i="4"/>
  <c r="DE20" i="4"/>
  <c r="CH20" i="4"/>
  <c r="CE20" i="4"/>
  <c r="CG20" i="4"/>
  <c r="CI20" i="4"/>
  <c r="BJ39" i="4"/>
  <c r="BI39" i="4"/>
  <c r="BM39" i="4"/>
  <c r="AP39" i="4"/>
  <c r="AM39" i="4"/>
  <c r="AQ39" i="4"/>
  <c r="BK39" i="4"/>
  <c r="AN39" i="4"/>
  <c r="BL39" i="4"/>
  <c r="AO39" i="4"/>
  <c r="DD39" i="4"/>
  <c r="DA39" i="4"/>
  <c r="DE39" i="4"/>
  <c r="DB39" i="4"/>
  <c r="DC39" i="4"/>
  <c r="CF39" i="4"/>
  <c r="CH39" i="4"/>
  <c r="CE39" i="4"/>
  <c r="CI39" i="4"/>
  <c r="CG39" i="4"/>
  <c r="BJ47" i="4"/>
  <c r="BI47" i="4"/>
  <c r="BM47" i="4"/>
  <c r="BK47" i="4"/>
  <c r="BL47" i="4"/>
  <c r="AP47" i="4"/>
  <c r="AM47" i="4"/>
  <c r="AQ47" i="4"/>
  <c r="AN47" i="4"/>
  <c r="AO47" i="4"/>
  <c r="DB37" i="4"/>
  <c r="DC37" i="4"/>
  <c r="DD37" i="4"/>
  <c r="DA37" i="4"/>
  <c r="DE37" i="4"/>
  <c r="CH37" i="4"/>
  <c r="CF37" i="4"/>
  <c r="CG37" i="4"/>
  <c r="CE37" i="4"/>
  <c r="CI37" i="4"/>
  <c r="DJ48" i="4"/>
  <c r="DC48" i="4"/>
  <c r="DD48" i="4"/>
  <c r="DA48" i="4"/>
  <c r="DE48" i="4"/>
  <c r="DB48" i="4"/>
  <c r="CE48" i="4"/>
  <c r="CI48" i="4"/>
  <c r="CG48" i="4"/>
  <c r="CH48" i="4"/>
  <c r="CF48" i="4"/>
  <c r="DI38" i="4"/>
  <c r="DA38" i="4"/>
  <c r="DE38" i="4"/>
  <c r="DB38" i="4"/>
  <c r="DC38" i="4"/>
  <c r="DD38" i="4"/>
  <c r="CG38" i="4"/>
  <c r="CE38" i="4"/>
  <c r="CI38" i="4"/>
  <c r="CF38" i="4"/>
  <c r="CH38" i="4"/>
  <c r="DD47" i="4"/>
  <c r="DA47" i="4"/>
  <c r="DE47" i="4"/>
  <c r="DB47" i="4"/>
  <c r="DC47" i="4"/>
  <c r="CF47" i="4"/>
  <c r="CH47" i="4"/>
  <c r="CE47" i="4"/>
  <c r="CI47" i="4"/>
  <c r="CG47" i="4"/>
  <c r="CF20" i="4"/>
  <c r="AC39" i="41"/>
  <c r="H95" i="30"/>
  <c r="AC39" i="42"/>
  <c r="H94" i="30"/>
  <c r="H119" i="30"/>
  <c r="J24" i="43"/>
  <c r="J24" i="44"/>
  <c r="CW20" i="4"/>
  <c r="CA20" i="4"/>
  <c r="DO20" i="4"/>
  <c r="CS20" i="4"/>
  <c r="DR20" i="4"/>
  <c r="CV20" i="4"/>
  <c r="DM20" i="4"/>
  <c r="CQ20" i="4"/>
  <c r="DQ20" i="4"/>
  <c r="CU20" i="4"/>
  <c r="DN20" i="4"/>
  <c r="CR20" i="4"/>
  <c r="CX20" i="4"/>
  <c r="CB20" i="4"/>
  <c r="CY20" i="4"/>
  <c r="CC20" i="4"/>
  <c r="CZ20" i="4"/>
  <c r="CD20" i="4"/>
  <c r="DF20" i="4"/>
  <c r="CJ20" i="4"/>
  <c r="DG20" i="4"/>
  <c r="CK20" i="4"/>
  <c r="DH20" i="4"/>
  <c r="CL20" i="4"/>
  <c r="DI20" i="4"/>
  <c r="CM20" i="4"/>
  <c r="DJ20" i="4"/>
  <c r="CN20" i="4"/>
  <c r="DK20" i="4"/>
  <c r="CO20" i="4"/>
  <c r="DL20" i="4"/>
  <c r="CP20" i="4"/>
  <c r="DP20" i="4"/>
  <c r="CT20" i="4"/>
  <c r="J24" i="45"/>
  <c r="DI47" i="4"/>
  <c r="AH47" i="4"/>
  <c r="AH48" i="4"/>
  <c r="BG39" i="4"/>
  <c r="BP39" i="4"/>
  <c r="BT39" i="4"/>
  <c r="BX39" i="4"/>
  <c r="BH39" i="4"/>
  <c r="BQ39" i="4"/>
  <c r="BU39" i="4"/>
  <c r="BY39" i="4"/>
  <c r="BF39" i="4"/>
  <c r="BE39" i="4"/>
  <c r="CY39" i="4"/>
  <c r="DH39" i="4"/>
  <c r="DL39" i="4"/>
  <c r="DP39" i="4"/>
  <c r="CJ39" i="4"/>
  <c r="CN39" i="4"/>
  <c r="CR39" i="4"/>
  <c r="CV39" i="4"/>
  <c r="CA39" i="4"/>
  <c r="CZ39" i="4"/>
  <c r="DI39" i="4"/>
  <c r="DM39" i="4"/>
  <c r="DQ39" i="4"/>
  <c r="CX39" i="4"/>
  <c r="CK39" i="4"/>
  <c r="CO39" i="4"/>
  <c r="CS39" i="4"/>
  <c r="BO47" i="4"/>
  <c r="BS47" i="4"/>
  <c r="BW47" i="4"/>
  <c r="AK47" i="4"/>
  <c r="AT47" i="4"/>
  <c r="AX47" i="4"/>
  <c r="BB47" i="4"/>
  <c r="BG47" i="4"/>
  <c r="BP47" i="4"/>
  <c r="BT47" i="4"/>
  <c r="BX47" i="4"/>
  <c r="AL47" i="4"/>
  <c r="AU47" i="4"/>
  <c r="AY47" i="4"/>
  <c r="BC47" i="4"/>
  <c r="DF37" i="4"/>
  <c r="DJ37" i="4"/>
  <c r="DN37" i="4"/>
  <c r="DR37" i="4"/>
  <c r="CW37" i="4"/>
  <c r="CC37" i="4"/>
  <c r="CL37" i="4"/>
  <c r="CP37" i="4"/>
  <c r="CT37" i="4"/>
  <c r="DG37" i="4"/>
  <c r="DK37" i="4"/>
  <c r="DO37" i="4"/>
  <c r="CD37" i="4"/>
  <c r="CM37" i="4"/>
  <c r="CQ37" i="4"/>
  <c r="CU37" i="4"/>
  <c r="CB37" i="4"/>
  <c r="AI39" i="4"/>
  <c r="BB39" i="4"/>
  <c r="AX39" i="4"/>
  <c r="AT39" i="4"/>
  <c r="AK39" i="4"/>
  <c r="BB38" i="4"/>
  <c r="AX38" i="4"/>
  <c r="AT38" i="4"/>
  <c r="AK38" i="4"/>
  <c r="BB37" i="4"/>
  <c r="AX37" i="4"/>
  <c r="AT37" i="4"/>
  <c r="AK37" i="4"/>
  <c r="BB36" i="4"/>
  <c r="AX36" i="4"/>
  <c r="AT36" i="4"/>
  <c r="AK36" i="4"/>
  <c r="BD48" i="4"/>
  <c r="AZ48" i="4"/>
  <c r="AV48" i="4"/>
  <c r="AL48" i="4"/>
  <c r="AZ47" i="4"/>
  <c r="AR47" i="4"/>
  <c r="BF36" i="4"/>
  <c r="BV39" i="4"/>
  <c r="BN39" i="4"/>
  <c r="BU38" i="4"/>
  <c r="BH38" i="4"/>
  <c r="BT37" i="4"/>
  <c r="BG37" i="4"/>
  <c r="BS36" i="4"/>
  <c r="BF47" i="4"/>
  <c r="BV48" i="4"/>
  <c r="BN48" i="4"/>
  <c r="BU47" i="4"/>
  <c r="BH47" i="4"/>
  <c r="CA37" i="4"/>
  <c r="CP39" i="4"/>
  <c r="CC39" i="4"/>
  <c r="CO38" i="4"/>
  <c r="CV37" i="4"/>
  <c r="CN37" i="4"/>
  <c r="CU36" i="4"/>
  <c r="CM36" i="4"/>
  <c r="CA48" i="4"/>
  <c r="CP48" i="4"/>
  <c r="CC48" i="4"/>
  <c r="CO47" i="4"/>
  <c r="CX36" i="4"/>
  <c r="DR39" i="4"/>
  <c r="DJ39" i="4"/>
  <c r="DQ38" i="4"/>
  <c r="DP37" i="4"/>
  <c r="DH37" i="4"/>
  <c r="DO36" i="4"/>
  <c r="DG36" i="4"/>
  <c r="DR48" i="4"/>
  <c r="DQ47" i="4"/>
  <c r="CY48" i="4"/>
  <c r="DH48" i="4"/>
  <c r="DL48" i="4"/>
  <c r="DP48" i="4"/>
  <c r="CW48" i="4"/>
  <c r="CJ48" i="4"/>
  <c r="CN48" i="4"/>
  <c r="CR48" i="4"/>
  <c r="CV48" i="4"/>
  <c r="CZ48" i="4"/>
  <c r="DI48" i="4"/>
  <c r="DM48" i="4"/>
  <c r="DQ48" i="4"/>
  <c r="CX48" i="4"/>
  <c r="CK48" i="4"/>
  <c r="CO48" i="4"/>
  <c r="CS48" i="4"/>
  <c r="DG38" i="4"/>
  <c r="DK38" i="4"/>
  <c r="DO38" i="4"/>
  <c r="CX38" i="4"/>
  <c r="CD38" i="4"/>
  <c r="CM38" i="4"/>
  <c r="CQ38" i="4"/>
  <c r="CU38" i="4"/>
  <c r="CY38" i="4"/>
  <c r="DH38" i="4"/>
  <c r="DL38" i="4"/>
  <c r="DP38" i="4"/>
  <c r="CW38" i="4"/>
  <c r="CJ38" i="4"/>
  <c r="CN38" i="4"/>
  <c r="CR38" i="4"/>
  <c r="CV38" i="4"/>
  <c r="DG47" i="4"/>
  <c r="DK47" i="4"/>
  <c r="DO47" i="4"/>
  <c r="CD47" i="4"/>
  <c r="CM47" i="4"/>
  <c r="CQ47" i="4"/>
  <c r="CU47" i="4"/>
  <c r="CB47" i="4"/>
  <c r="CY47" i="4"/>
  <c r="DH47" i="4"/>
  <c r="DL47" i="4"/>
  <c r="DP47" i="4"/>
  <c r="CJ47" i="4"/>
  <c r="CN47" i="4"/>
  <c r="CR47" i="4"/>
  <c r="CV47" i="4"/>
  <c r="CA47" i="4"/>
  <c r="AI36" i="4"/>
  <c r="BA39" i="4"/>
  <c r="AW39" i="4"/>
  <c r="AS39" i="4"/>
  <c r="AJ39" i="4"/>
  <c r="BA38" i="4"/>
  <c r="AW38" i="4"/>
  <c r="AS38" i="4"/>
  <c r="AJ38" i="4"/>
  <c r="BA37" i="4"/>
  <c r="AW37" i="4"/>
  <c r="AS37" i="4"/>
  <c r="AJ37" i="4"/>
  <c r="BA36" i="4"/>
  <c r="AW36" i="4"/>
  <c r="AS36" i="4"/>
  <c r="AJ36" i="4"/>
  <c r="BC48" i="4"/>
  <c r="AY48" i="4"/>
  <c r="AU48" i="4"/>
  <c r="AJ48" i="4"/>
  <c r="AW47" i="4"/>
  <c r="AJ47" i="4"/>
  <c r="BF37" i="4"/>
  <c r="BS39" i="4"/>
  <c r="BZ38" i="4"/>
  <c r="BY37" i="4"/>
  <c r="BQ37" i="4"/>
  <c r="BX36" i="4"/>
  <c r="BE47" i="4"/>
  <c r="BZ47" i="4"/>
  <c r="BR47" i="4"/>
  <c r="CB39" i="4"/>
  <c r="CU39" i="4"/>
  <c r="CM39" i="4"/>
  <c r="CT38" i="4"/>
  <c r="CL38" i="4"/>
  <c r="CS37" i="4"/>
  <c r="CK37" i="4"/>
  <c r="CR36" i="4"/>
  <c r="CJ36" i="4"/>
  <c r="CU48" i="4"/>
  <c r="CM48" i="4"/>
  <c r="CT47" i="4"/>
  <c r="CL47" i="4"/>
  <c r="CX37" i="4"/>
  <c r="DO39" i="4"/>
  <c r="DG39" i="4"/>
  <c r="DN38" i="4"/>
  <c r="DF38" i="4"/>
  <c r="DM37" i="4"/>
  <c r="CZ37" i="4"/>
  <c r="DL36" i="4"/>
  <c r="DO48" i="4"/>
  <c r="DG48" i="4"/>
  <c r="DN47" i="4"/>
  <c r="DF47" i="4"/>
  <c r="BG48" i="4"/>
  <c r="BP48" i="4"/>
  <c r="BT48" i="4"/>
  <c r="BX48" i="4"/>
  <c r="BE48" i="4"/>
  <c r="AK48" i="4"/>
  <c r="AT48" i="4"/>
  <c r="BH48" i="4"/>
  <c r="BQ48" i="4"/>
  <c r="BU48" i="4"/>
  <c r="BY48" i="4"/>
  <c r="BF48" i="4"/>
  <c r="BH36" i="4"/>
  <c r="BQ36" i="4"/>
  <c r="BU36" i="4"/>
  <c r="BY36" i="4"/>
  <c r="BN36" i="4"/>
  <c r="BR36" i="4"/>
  <c r="BV36" i="4"/>
  <c r="BZ36" i="4"/>
  <c r="BO38" i="4"/>
  <c r="BS38" i="4"/>
  <c r="BW38" i="4"/>
  <c r="BF38" i="4"/>
  <c r="BE38" i="4"/>
  <c r="BG38" i="4"/>
  <c r="BP38" i="4"/>
  <c r="BT38" i="4"/>
  <c r="BX38" i="4"/>
  <c r="CZ36" i="4"/>
  <c r="DI36" i="4"/>
  <c r="DM36" i="4"/>
  <c r="DQ36" i="4"/>
  <c r="CK36" i="4"/>
  <c r="CO36" i="4"/>
  <c r="CS36" i="4"/>
  <c r="CB36" i="4"/>
  <c r="DF36" i="4"/>
  <c r="DJ36" i="4"/>
  <c r="DN36" i="4"/>
  <c r="DR36" i="4"/>
  <c r="CC36" i="4"/>
  <c r="CL36" i="4"/>
  <c r="CP36" i="4"/>
  <c r="CT36" i="4"/>
  <c r="CA36" i="4"/>
  <c r="AI37" i="4"/>
  <c r="BD39" i="4"/>
  <c r="AZ39" i="4"/>
  <c r="AV39" i="4"/>
  <c r="AR39" i="4"/>
  <c r="BD38" i="4"/>
  <c r="AZ38" i="4"/>
  <c r="AV38" i="4"/>
  <c r="AR38" i="4"/>
  <c r="BD37" i="4"/>
  <c r="AZ37" i="4"/>
  <c r="AV37" i="4"/>
  <c r="AR37" i="4"/>
  <c r="BD36" i="4"/>
  <c r="AZ36" i="4"/>
  <c r="AV36" i="4"/>
  <c r="AR36" i="4"/>
  <c r="AI47" i="4"/>
  <c r="BB48" i="4"/>
  <c r="AX48" i="4"/>
  <c r="AS48" i="4"/>
  <c r="BD47" i="4"/>
  <c r="AV47" i="4"/>
  <c r="BE36" i="4"/>
  <c r="BZ39" i="4"/>
  <c r="BR39" i="4"/>
  <c r="BY38" i="4"/>
  <c r="BQ38" i="4"/>
  <c r="BX37" i="4"/>
  <c r="BW36" i="4"/>
  <c r="BO36" i="4"/>
  <c r="BZ48" i="4"/>
  <c r="BR48" i="4"/>
  <c r="BY47" i="4"/>
  <c r="BQ47" i="4"/>
  <c r="CB38" i="4"/>
  <c r="CT39" i="4"/>
  <c r="CL39" i="4"/>
  <c r="CS38" i="4"/>
  <c r="CK38" i="4"/>
  <c r="CR37" i="4"/>
  <c r="CJ37" i="4"/>
  <c r="CQ36" i="4"/>
  <c r="CD36" i="4"/>
  <c r="CT48" i="4"/>
  <c r="CL48" i="4"/>
  <c r="CS47" i="4"/>
  <c r="CK47" i="4"/>
  <c r="CW39" i="4"/>
  <c r="DN39" i="4"/>
  <c r="DF39" i="4"/>
  <c r="DM38" i="4"/>
  <c r="CZ38" i="4"/>
  <c r="DL37" i="4"/>
  <c r="CY37" i="4"/>
  <c r="DK36" i="4"/>
  <c r="CX47" i="4"/>
  <c r="DN48" i="4"/>
  <c r="DF48" i="4"/>
  <c r="DM47" i="4"/>
  <c r="CZ47" i="4"/>
  <c r="BN37" i="4"/>
  <c r="BR37" i="4"/>
  <c r="BV37" i="4"/>
  <c r="BZ37" i="4"/>
  <c r="BO37" i="4"/>
  <c r="BS37" i="4"/>
  <c r="BW37" i="4"/>
  <c r="AI38" i="4"/>
  <c r="BC39" i="4"/>
  <c r="AY39" i="4"/>
  <c r="AU39" i="4"/>
  <c r="AL39" i="4"/>
  <c r="BC38" i="4"/>
  <c r="AY38" i="4"/>
  <c r="AU38" i="4"/>
  <c r="AL38" i="4"/>
  <c r="BC37" i="4"/>
  <c r="AY37" i="4"/>
  <c r="AU37" i="4"/>
  <c r="AL37" i="4"/>
  <c r="BC36" i="4"/>
  <c r="AY36" i="4"/>
  <c r="AU36" i="4"/>
  <c r="AL36" i="4"/>
  <c r="AI48" i="4"/>
  <c r="BA48" i="4"/>
  <c r="AW48" i="4"/>
  <c r="AR48" i="4"/>
  <c r="BA47" i="4"/>
  <c r="AS47" i="4"/>
  <c r="BE37" i="4"/>
  <c r="BW39" i="4"/>
  <c r="BO39" i="4"/>
  <c r="BV38" i="4"/>
  <c r="BN38" i="4"/>
  <c r="BU37" i="4"/>
  <c r="BH37" i="4"/>
  <c r="BT36" i="4"/>
  <c r="BG36" i="4"/>
  <c r="BW48" i="4"/>
  <c r="BO48" i="4"/>
  <c r="BV47" i="4"/>
  <c r="BN47" i="4"/>
  <c r="CA38" i="4"/>
  <c r="CQ39" i="4"/>
  <c r="CD39" i="4"/>
  <c r="CP38" i="4"/>
  <c r="CC38" i="4"/>
  <c r="CO37" i="4"/>
  <c r="CV36" i="4"/>
  <c r="CN36" i="4"/>
  <c r="CB48" i="4"/>
  <c r="CQ48" i="4"/>
  <c r="CD48" i="4"/>
  <c r="CP47" i="4"/>
  <c r="CC47" i="4"/>
  <c r="CW36" i="4"/>
  <c r="DK39" i="4"/>
  <c r="DR38" i="4"/>
  <c r="DJ38" i="4"/>
  <c r="DQ37" i="4"/>
  <c r="DI37" i="4"/>
  <c r="DP36" i="4"/>
  <c r="DH36" i="4"/>
  <c r="CW47" i="4"/>
  <c r="DK48" i="4"/>
  <c r="DR47" i="4"/>
  <c r="DJ47" i="4"/>
  <c r="J21" i="39"/>
  <c r="H18" i="38"/>
  <c r="J16" i="39"/>
  <c r="H22" i="38"/>
  <c r="H17" i="39"/>
  <c r="H23" i="38"/>
  <c r="AC31" i="38"/>
  <c r="AC27" i="39"/>
  <c r="H20" i="39"/>
  <c r="AH20" i="4"/>
  <c r="H106" i="30"/>
  <c r="H18" i="39"/>
  <c r="J9" i="38"/>
  <c r="H16" i="38"/>
  <c r="H27" i="30"/>
  <c r="J27" i="30" s="1"/>
  <c r="J20" i="38"/>
  <c r="H19" i="39"/>
  <c r="H17" i="38"/>
  <c r="H21" i="38"/>
  <c r="H60" i="38"/>
  <c r="H62" i="38" s="1"/>
  <c r="F106" i="30"/>
  <c r="F156" i="30" s="1"/>
  <c r="J11" i="30"/>
  <c r="AC25" i="39"/>
  <c r="AC26" i="39"/>
  <c r="F22" i="39"/>
  <c r="F112" i="39"/>
  <c r="J112" i="39" s="1"/>
  <c r="J118" i="39" s="1"/>
  <c r="D113" i="39"/>
  <c r="AC24" i="39"/>
  <c r="AC28" i="39"/>
  <c r="H134" i="39"/>
  <c r="AC23" i="39"/>
  <c r="F90" i="30"/>
  <c r="F140" i="30" s="1"/>
  <c r="J123" i="38"/>
  <c r="J102" i="38"/>
  <c r="AC27" i="38" s="1"/>
  <c r="J131" i="38"/>
  <c r="J82" i="38"/>
  <c r="AC26" i="38" s="1"/>
  <c r="F62" i="38"/>
  <c r="AC39" i="38" s="1"/>
  <c r="J60" i="38"/>
  <c r="J62" i="38" s="1"/>
  <c r="AC32" i="38"/>
  <c r="F137" i="38"/>
  <c r="J137" i="38" s="1"/>
  <c r="J143" i="38" s="1"/>
  <c r="AC29" i="38"/>
  <c r="AC25" i="38"/>
  <c r="J77" i="23"/>
  <c r="J76" i="24"/>
  <c r="F71" i="4"/>
  <c r="F72" i="4"/>
  <c r="E71" i="4"/>
  <c r="E72" i="4"/>
  <c r="B71" i="4"/>
  <c r="B72" i="4"/>
  <c r="C71" i="4"/>
  <c r="C72" i="4"/>
  <c r="L119" i="27"/>
  <c r="L120" i="27"/>
  <c r="AH68" i="4"/>
  <c r="C68" i="4"/>
  <c r="E68" i="4"/>
  <c r="F68" i="4"/>
  <c r="B68" i="4"/>
  <c r="L116" i="27"/>
  <c r="H58" i="37"/>
  <c r="H60" i="37" s="1"/>
  <c r="AC35" i="37" s="1"/>
  <c r="H53" i="37"/>
  <c r="H52" i="37"/>
  <c r="H51" i="37"/>
  <c r="H47" i="37"/>
  <c r="H46" i="37"/>
  <c r="H45" i="37"/>
  <c r="H44" i="37"/>
  <c r="H40" i="37"/>
  <c r="H39" i="37"/>
  <c r="H38" i="37"/>
  <c r="H37" i="37"/>
  <c r="H33" i="37"/>
  <c r="H32" i="37"/>
  <c r="H31" i="37"/>
  <c r="H30" i="37"/>
  <c r="H25" i="37"/>
  <c r="AC30" i="37" s="1"/>
  <c r="H24" i="37"/>
  <c r="AC29" i="37" s="1"/>
  <c r="H21" i="37"/>
  <c r="AC28" i="37" s="1"/>
  <c r="H20" i="37"/>
  <c r="AC27" i="37" s="1"/>
  <c r="H19" i="37"/>
  <c r="AC26" i="37" s="1"/>
  <c r="H18" i="37"/>
  <c r="AC25" i="37" s="1"/>
  <c r="H17" i="37"/>
  <c r="H16" i="37"/>
  <c r="H10" i="37"/>
  <c r="F9" i="37"/>
  <c r="J9" i="37" s="1"/>
  <c r="F54" i="30"/>
  <c r="F55" i="30"/>
  <c r="F53" i="30"/>
  <c r="F25" i="30"/>
  <c r="F26" i="30"/>
  <c r="J130" i="37"/>
  <c r="L130" i="37" s="1"/>
  <c r="F21" i="37" s="1"/>
  <c r="J21" i="37" s="1"/>
  <c r="F130" i="37"/>
  <c r="D108" i="37" s="1"/>
  <c r="L129" i="37"/>
  <c r="H129" i="37"/>
  <c r="L128" i="37"/>
  <c r="H128" i="37"/>
  <c r="L127" i="37"/>
  <c r="H127" i="37"/>
  <c r="L126" i="37"/>
  <c r="H126" i="37"/>
  <c r="L125" i="37"/>
  <c r="H125" i="37"/>
  <c r="L124" i="37"/>
  <c r="H124" i="37"/>
  <c r="J113" i="37"/>
  <c r="J112" i="37"/>
  <c r="J20" i="37" s="1"/>
  <c r="J111" i="37"/>
  <c r="J110" i="37"/>
  <c r="J109" i="37"/>
  <c r="J107" i="37"/>
  <c r="J101" i="37"/>
  <c r="J100" i="37"/>
  <c r="J99" i="37"/>
  <c r="J93" i="37"/>
  <c r="J92" i="37"/>
  <c r="J91" i="37"/>
  <c r="J88" i="37"/>
  <c r="J87" i="37"/>
  <c r="J86" i="37"/>
  <c r="J78" i="37"/>
  <c r="J77" i="37"/>
  <c r="J72" i="37"/>
  <c r="J71" i="37"/>
  <c r="F16" i="37" s="1"/>
  <c r="J16" i="37" s="1"/>
  <c r="H38" i="26"/>
  <c r="H384" i="26"/>
  <c r="L384" i="26"/>
  <c r="H383" i="26"/>
  <c r="L383" i="26"/>
  <c r="H284" i="26"/>
  <c r="L284" i="26"/>
  <c r="H283" i="26"/>
  <c r="L283" i="26"/>
  <c r="H177" i="26"/>
  <c r="L177" i="26"/>
  <c r="H175" i="26"/>
  <c r="L175" i="26"/>
  <c r="J350" i="26"/>
  <c r="J314" i="26"/>
  <c r="J315" i="26"/>
  <c r="J312" i="26"/>
  <c r="J313" i="26"/>
  <c r="J121" i="26"/>
  <c r="J120" i="26"/>
  <c r="J9" i="26"/>
  <c r="J446" i="26"/>
  <c r="L446" i="26" s="1"/>
  <c r="F50" i="26" s="1"/>
  <c r="H50" i="26" s="1"/>
  <c r="F446" i="26"/>
  <c r="D427" i="26" s="1"/>
  <c r="L445" i="26"/>
  <c r="H445" i="26"/>
  <c r="L444" i="26"/>
  <c r="H444" i="26"/>
  <c r="L443" i="26"/>
  <c r="H443" i="26"/>
  <c r="L442" i="26"/>
  <c r="H442" i="26"/>
  <c r="J432" i="26"/>
  <c r="J431" i="26"/>
  <c r="J430" i="26"/>
  <c r="J429" i="26"/>
  <c r="J428" i="26"/>
  <c r="J426" i="26"/>
  <c r="J420" i="26"/>
  <c r="J419" i="26"/>
  <c r="J418" i="26"/>
  <c r="J407" i="26"/>
  <c r="J406" i="26"/>
  <c r="J405" i="26"/>
  <c r="J396" i="26"/>
  <c r="H396" i="26"/>
  <c r="F94" i="26" s="1"/>
  <c r="H94" i="26" s="1"/>
  <c r="L395" i="26"/>
  <c r="H395" i="26"/>
  <c r="L394" i="26"/>
  <c r="H394" i="26"/>
  <c r="L393" i="26"/>
  <c r="H393" i="26"/>
  <c r="L392" i="26"/>
  <c r="H392" i="26"/>
  <c r="L391" i="26"/>
  <c r="H391" i="26"/>
  <c r="L390" i="26"/>
  <c r="H390" i="26"/>
  <c r="L389" i="26"/>
  <c r="H389" i="26"/>
  <c r="L388" i="26"/>
  <c r="H388" i="26"/>
  <c r="L386" i="26"/>
  <c r="H386" i="26"/>
  <c r="L385" i="26"/>
  <c r="H385" i="26"/>
  <c r="L382" i="26"/>
  <c r="H382" i="26"/>
  <c r="J372" i="26"/>
  <c r="J371" i="26"/>
  <c r="J370" i="26"/>
  <c r="J369" i="26"/>
  <c r="J368" i="26"/>
  <c r="J366" i="26"/>
  <c r="J360" i="26"/>
  <c r="J359" i="26"/>
  <c r="J358" i="26"/>
  <c r="J352" i="26"/>
  <c r="J351" i="26"/>
  <c r="J344" i="26"/>
  <c r="J342" i="26"/>
  <c r="J341" i="26"/>
  <c r="J340" i="26"/>
  <c r="J339" i="26"/>
  <c r="J338" i="26"/>
  <c r="J331" i="26"/>
  <c r="J330" i="26"/>
  <c r="J329" i="26"/>
  <c r="J323" i="26"/>
  <c r="J322" i="26"/>
  <c r="J321" i="26"/>
  <c r="J318" i="26"/>
  <c r="J317" i="26"/>
  <c r="J316" i="26"/>
  <c r="J305" i="26"/>
  <c r="J304" i="26"/>
  <c r="J303" i="26"/>
  <c r="J302" i="26"/>
  <c r="F32" i="26"/>
  <c r="D265" i="26"/>
  <c r="L295" i="26"/>
  <c r="H295" i="26"/>
  <c r="L294" i="26"/>
  <c r="H294" i="26"/>
  <c r="L293" i="26"/>
  <c r="H293" i="26"/>
  <c r="L288" i="26"/>
  <c r="H288" i="26"/>
  <c r="L287" i="26"/>
  <c r="H287" i="26"/>
  <c r="L286" i="26"/>
  <c r="H286" i="26"/>
  <c r="L285" i="26"/>
  <c r="H285" i="26"/>
  <c r="L282" i="26"/>
  <c r="H282" i="26"/>
  <c r="L281" i="26"/>
  <c r="H281" i="26"/>
  <c r="L280" i="26"/>
  <c r="H280" i="26"/>
  <c r="J270" i="26"/>
  <c r="J269" i="26"/>
  <c r="J268" i="26"/>
  <c r="J267" i="26"/>
  <c r="J266" i="26"/>
  <c r="J264" i="26"/>
  <c r="J258" i="26"/>
  <c r="J257" i="26"/>
  <c r="J256" i="26"/>
  <c r="J219" i="26"/>
  <c r="J218" i="26"/>
  <c r="J217" i="26"/>
  <c r="J214" i="26"/>
  <c r="J213" i="26"/>
  <c r="J212" i="26"/>
  <c r="J205" i="26"/>
  <c r="J204" i="26"/>
  <c r="J203" i="26"/>
  <c r="J202" i="26"/>
  <c r="J195" i="26"/>
  <c r="J193" i="26"/>
  <c r="J192" i="26"/>
  <c r="J191" i="26"/>
  <c r="J185" i="26"/>
  <c r="L185" i="26" s="1"/>
  <c r="F20" i="26" s="1"/>
  <c r="F185" i="26"/>
  <c r="D153" i="26" s="1"/>
  <c r="L184" i="26"/>
  <c r="H184" i="26"/>
  <c r="L183" i="26"/>
  <c r="H183" i="26"/>
  <c r="L182" i="26"/>
  <c r="H182" i="26"/>
  <c r="L181" i="26"/>
  <c r="H181" i="26"/>
  <c r="L180" i="26"/>
  <c r="H180" i="26"/>
  <c r="L179" i="26"/>
  <c r="H179" i="26"/>
  <c r="L178" i="26"/>
  <c r="H178" i="26"/>
  <c r="L176" i="26"/>
  <c r="H176" i="26"/>
  <c r="L174" i="26"/>
  <c r="H174" i="26"/>
  <c r="L173" i="26"/>
  <c r="H173" i="26"/>
  <c r="L172" i="26"/>
  <c r="H172" i="26"/>
  <c r="L171" i="26"/>
  <c r="H171" i="26"/>
  <c r="L170" i="26"/>
  <c r="H170" i="26"/>
  <c r="L169" i="26"/>
  <c r="H169" i="26"/>
  <c r="J158" i="26"/>
  <c r="J157" i="26"/>
  <c r="J156" i="26"/>
  <c r="J155" i="26"/>
  <c r="J154" i="26"/>
  <c r="J152" i="26"/>
  <c r="J146" i="26"/>
  <c r="J145" i="26"/>
  <c r="J144" i="26"/>
  <c r="J138" i="26"/>
  <c r="J137" i="26"/>
  <c r="J136" i="26"/>
  <c r="J133" i="26"/>
  <c r="J132" i="26"/>
  <c r="J131" i="26"/>
  <c r="J124" i="26"/>
  <c r="J123" i="26"/>
  <c r="J122" i="26"/>
  <c r="J119" i="26"/>
  <c r="J112" i="26"/>
  <c r="J110" i="26"/>
  <c r="J109" i="26"/>
  <c r="J108" i="26"/>
  <c r="S18" i="26"/>
  <c r="O19" i="26" s="1"/>
  <c r="H9" i="36"/>
  <c r="F9" i="36" s="1"/>
  <c r="J9" i="36" s="1"/>
  <c r="F21" i="36"/>
  <c r="AC28" i="36" s="1"/>
  <c r="F9" i="35"/>
  <c r="J103" i="23"/>
  <c r="J193" i="20"/>
  <c r="J299" i="20"/>
  <c r="J298" i="20"/>
  <c r="J296" i="20"/>
  <c r="J295" i="20"/>
  <c r="J292" i="20"/>
  <c r="J291" i="20"/>
  <c r="J289" i="20"/>
  <c r="J288" i="20"/>
  <c r="J287" i="20"/>
  <c r="J202" i="20"/>
  <c r="J201" i="20"/>
  <c r="J199" i="20"/>
  <c r="J198" i="20"/>
  <c r="J195" i="20"/>
  <c r="J194" i="20"/>
  <c r="J192" i="20"/>
  <c r="J191" i="20"/>
  <c r="J190" i="20"/>
  <c r="L267" i="20"/>
  <c r="L179" i="23"/>
  <c r="H179" i="23"/>
  <c r="H181" i="23"/>
  <c r="H171" i="23"/>
  <c r="H172" i="23"/>
  <c r="H173" i="23"/>
  <c r="H174" i="23"/>
  <c r="H175" i="23"/>
  <c r="H176" i="23"/>
  <c r="H178" i="23"/>
  <c r="H182" i="23"/>
  <c r="H183" i="23"/>
  <c r="H184" i="23"/>
  <c r="H186" i="23"/>
  <c r="H187" i="23"/>
  <c r="H188" i="23"/>
  <c r="H189" i="23"/>
  <c r="H170" i="23"/>
  <c r="L171" i="23"/>
  <c r="L172" i="23"/>
  <c r="L173" i="23"/>
  <c r="L174" i="23"/>
  <c r="L175" i="23"/>
  <c r="L176" i="23"/>
  <c r="L178" i="23"/>
  <c r="L181" i="23"/>
  <c r="L182" i="23"/>
  <c r="L183" i="23"/>
  <c r="L184" i="23"/>
  <c r="L186" i="23"/>
  <c r="L187" i="23"/>
  <c r="L188" i="23"/>
  <c r="L189" i="23"/>
  <c r="L170" i="23"/>
  <c r="J114" i="24"/>
  <c r="J113" i="24"/>
  <c r="J112" i="24"/>
  <c r="F34" i="25"/>
  <c r="Z28" i="25" s="1"/>
  <c r="H35" i="25"/>
  <c r="J317" i="22"/>
  <c r="J316" i="22"/>
  <c r="J315" i="22"/>
  <c r="J200" i="21"/>
  <c r="J199" i="21"/>
  <c r="J198" i="21"/>
  <c r="AB27" i="20"/>
  <c r="J210" i="20"/>
  <c r="J209" i="20"/>
  <c r="J208" i="20"/>
  <c r="J120" i="23"/>
  <c r="J119" i="23"/>
  <c r="J118" i="23"/>
  <c r="J134" i="36"/>
  <c r="L134" i="36" s="1"/>
  <c r="F134" i="36"/>
  <c r="D112" i="36" s="1"/>
  <c r="L133" i="36"/>
  <c r="H133" i="36"/>
  <c r="L132" i="36"/>
  <c r="H132" i="36"/>
  <c r="L131" i="36"/>
  <c r="H131" i="36"/>
  <c r="L130" i="36"/>
  <c r="H130" i="36"/>
  <c r="L129" i="36"/>
  <c r="H129" i="36"/>
  <c r="L128" i="36"/>
  <c r="H128" i="36"/>
  <c r="J117" i="36"/>
  <c r="J116" i="36"/>
  <c r="J20" i="36" s="1"/>
  <c r="J115" i="36"/>
  <c r="J114" i="36"/>
  <c r="J113" i="36"/>
  <c r="J111" i="36"/>
  <c r="J105" i="36"/>
  <c r="J104" i="36"/>
  <c r="H103" i="36"/>
  <c r="J103" i="36" s="1"/>
  <c r="J102" i="36"/>
  <c r="J96" i="36"/>
  <c r="J95" i="36"/>
  <c r="J94" i="36"/>
  <c r="J91" i="36"/>
  <c r="J90" i="36"/>
  <c r="J89" i="36"/>
  <c r="J88" i="36"/>
  <c r="J87" i="36"/>
  <c r="J78" i="36"/>
  <c r="J77" i="36"/>
  <c r="J72" i="36"/>
  <c r="J71" i="36"/>
  <c r="F16" i="36" s="1"/>
  <c r="H16" i="36" s="1"/>
  <c r="J134" i="35"/>
  <c r="L134" i="35" s="1"/>
  <c r="F21" i="35" s="1"/>
  <c r="AC28" i="35" s="1"/>
  <c r="F134" i="35"/>
  <c r="D112" i="35" s="1"/>
  <c r="L133" i="35"/>
  <c r="H133" i="35"/>
  <c r="L132" i="35"/>
  <c r="H132" i="35"/>
  <c r="L131" i="35"/>
  <c r="H131" i="35"/>
  <c r="L130" i="35"/>
  <c r="H130" i="35"/>
  <c r="L129" i="35"/>
  <c r="H129" i="35"/>
  <c r="L128" i="35"/>
  <c r="H128" i="35"/>
  <c r="J117" i="35"/>
  <c r="J116" i="35"/>
  <c r="AC27" i="35" s="1"/>
  <c r="J115" i="35"/>
  <c r="J114" i="35"/>
  <c r="J113" i="35"/>
  <c r="J111" i="35"/>
  <c r="J105" i="35"/>
  <c r="J104" i="35"/>
  <c r="H103" i="35"/>
  <c r="J103" i="35" s="1"/>
  <c r="J96" i="35"/>
  <c r="J95" i="35"/>
  <c r="J94" i="35"/>
  <c r="J91" i="35"/>
  <c r="J90" i="35"/>
  <c r="J89" i="35"/>
  <c r="J88" i="35"/>
  <c r="J87" i="35"/>
  <c r="J78" i="35"/>
  <c r="J77" i="35"/>
  <c r="J72" i="35"/>
  <c r="J71" i="35"/>
  <c r="F16" i="35" s="1"/>
  <c r="AC23" i="35" s="1"/>
  <c r="J28" i="22" l="1"/>
  <c r="F16" i="23"/>
  <c r="H16" i="23" s="1"/>
  <c r="J324" i="26"/>
  <c r="F37" i="26" s="1"/>
  <c r="Z31" i="26" s="1"/>
  <c r="I71" i="4"/>
  <c r="J106" i="30"/>
  <c r="F131" i="30"/>
  <c r="H22" i="39"/>
  <c r="J58" i="39"/>
  <c r="J60" i="39" s="1"/>
  <c r="H60" i="39"/>
  <c r="F60" i="39"/>
  <c r="AC35" i="39" s="1"/>
  <c r="J22" i="39"/>
  <c r="J90" i="30"/>
  <c r="F115" i="30"/>
  <c r="AC30" i="38"/>
  <c r="J97" i="36"/>
  <c r="F18" i="36" s="1"/>
  <c r="H18" i="36" s="1"/>
  <c r="J79" i="36"/>
  <c r="F17" i="36" s="1"/>
  <c r="AC24" i="36" s="1"/>
  <c r="J106" i="35"/>
  <c r="F19" i="35" s="1"/>
  <c r="AC26" i="35" s="1"/>
  <c r="J15" i="24"/>
  <c r="I72" i="4"/>
  <c r="I68" i="4"/>
  <c r="BJ68" i="4" s="1"/>
  <c r="H20" i="36"/>
  <c r="H21" i="36"/>
  <c r="Z29" i="25"/>
  <c r="H25" i="30"/>
  <c r="J25" i="30" s="1"/>
  <c r="H29" i="30"/>
  <c r="J102" i="37"/>
  <c r="F19" i="37" s="1"/>
  <c r="J19" i="37" s="1"/>
  <c r="J79" i="37"/>
  <c r="F17" i="37" s="1"/>
  <c r="J17" i="37" s="1"/>
  <c r="H48" i="37"/>
  <c r="AC33" i="37" s="1"/>
  <c r="H22" i="37"/>
  <c r="H26" i="37" s="1"/>
  <c r="H34" i="37"/>
  <c r="AC31" i="37" s="1"/>
  <c r="H41" i="37"/>
  <c r="AC32" i="37" s="1"/>
  <c r="H54" i="37"/>
  <c r="AC34" i="37" s="1"/>
  <c r="J94" i="37"/>
  <c r="F18" i="37" s="1"/>
  <c r="J18" i="37" s="1"/>
  <c r="F79" i="30"/>
  <c r="F80" i="30"/>
  <c r="F105" i="30" s="1"/>
  <c r="F130" i="30" s="1"/>
  <c r="H26" i="30"/>
  <c r="J26" i="30" s="1"/>
  <c r="F108" i="37"/>
  <c r="J108" i="37" s="1"/>
  <c r="J114" i="37" s="1"/>
  <c r="D109" i="37"/>
  <c r="H130" i="37"/>
  <c r="F58" i="37" s="1"/>
  <c r="J58" i="37" s="1"/>
  <c r="H11" i="37"/>
  <c r="AC24" i="37"/>
  <c r="D367" i="26"/>
  <c r="D368" i="26" s="1"/>
  <c r="J35" i="25"/>
  <c r="J413" i="26"/>
  <c r="F47" i="26" s="1"/>
  <c r="H47" i="26" s="1"/>
  <c r="J38" i="26"/>
  <c r="J259" i="26"/>
  <c r="J147" i="26"/>
  <c r="F18" i="26" s="1"/>
  <c r="J18" i="26" s="1"/>
  <c r="J220" i="26"/>
  <c r="J421" i="26"/>
  <c r="F48" i="26" s="1"/>
  <c r="J48" i="26" s="1"/>
  <c r="J32" i="26"/>
  <c r="H32" i="26"/>
  <c r="J20" i="26"/>
  <c r="H20" i="26"/>
  <c r="J50" i="26"/>
  <c r="J306" i="26"/>
  <c r="J139" i="26"/>
  <c r="F17" i="26" s="1"/>
  <c r="J197" i="26"/>
  <c r="F24" i="26" s="1"/>
  <c r="J206" i="26"/>
  <c r="F25" i="26" s="1"/>
  <c r="L396" i="26"/>
  <c r="F43" i="26" s="1"/>
  <c r="Z37" i="26" s="1"/>
  <c r="J114" i="26"/>
  <c r="F15" i="26" s="1"/>
  <c r="J125" i="26"/>
  <c r="F16" i="26" s="1"/>
  <c r="J332" i="26"/>
  <c r="J353" i="26"/>
  <c r="F40" i="26" s="1"/>
  <c r="Z34" i="26" s="1"/>
  <c r="J361" i="26"/>
  <c r="F41" i="26" s="1"/>
  <c r="D154" i="26"/>
  <c r="F153" i="26"/>
  <c r="J153" i="26" s="1"/>
  <c r="J159" i="26" s="1"/>
  <c r="F19" i="26" s="1"/>
  <c r="Z32" i="26"/>
  <c r="J94" i="26"/>
  <c r="Z44" i="26"/>
  <c r="F427" i="26"/>
  <c r="J427" i="26" s="1"/>
  <c r="J433" i="26" s="1"/>
  <c r="F49" i="26" s="1"/>
  <c r="D428" i="26"/>
  <c r="D266" i="26"/>
  <c r="F265" i="26"/>
  <c r="J265" i="26" s="1"/>
  <c r="J271" i="26" s="1"/>
  <c r="F31" i="26" s="1"/>
  <c r="J345" i="26"/>
  <c r="F39" i="26" s="1"/>
  <c r="H446" i="26"/>
  <c r="F97" i="26" s="1"/>
  <c r="H97" i="26" s="1"/>
  <c r="H185" i="26"/>
  <c r="F88" i="26" s="1"/>
  <c r="H88" i="26" s="1"/>
  <c r="J21" i="36"/>
  <c r="AC27" i="36"/>
  <c r="AC23" i="36"/>
  <c r="J16" i="36"/>
  <c r="H16" i="35"/>
  <c r="J16" i="35"/>
  <c r="J20" i="35"/>
  <c r="H20" i="35"/>
  <c r="H19" i="35"/>
  <c r="J21" i="35"/>
  <c r="H21" i="35"/>
  <c r="J79" i="35"/>
  <c r="F17" i="35" s="1"/>
  <c r="J97" i="35"/>
  <c r="F18" i="35" s="1"/>
  <c r="AC25" i="35" s="1"/>
  <c r="J106" i="36"/>
  <c r="F19" i="36" s="1"/>
  <c r="J19" i="36" s="1"/>
  <c r="J300" i="20"/>
  <c r="F36" i="20" s="1"/>
  <c r="J115" i="24"/>
  <c r="J203" i="20"/>
  <c r="F26" i="20" s="1"/>
  <c r="J211" i="20"/>
  <c r="F27" i="20" s="1"/>
  <c r="J121" i="23"/>
  <c r="F19" i="23" s="1"/>
  <c r="H19" i="23" s="1"/>
  <c r="J318" i="22"/>
  <c r="F38" i="22" s="1"/>
  <c r="Z32" i="22" s="1"/>
  <c r="J201" i="21"/>
  <c r="F112" i="36"/>
  <c r="J112" i="36" s="1"/>
  <c r="J118" i="36" s="1"/>
  <c r="D113" i="36"/>
  <c r="H134" i="36"/>
  <c r="F112" i="35"/>
  <c r="J112" i="35" s="1"/>
  <c r="J118" i="35" s="1"/>
  <c r="D113" i="35"/>
  <c r="J9" i="35"/>
  <c r="H134" i="35"/>
  <c r="F58" i="35" s="1"/>
  <c r="J92" i="23"/>
  <c r="J87" i="23"/>
  <c r="J88" i="23"/>
  <c r="J112" i="23"/>
  <c r="J111" i="23"/>
  <c r="J109" i="23"/>
  <c r="J108" i="23"/>
  <c r="J105" i="23"/>
  <c r="J104" i="23"/>
  <c r="J102" i="23"/>
  <c r="J101" i="23"/>
  <c r="J100" i="23"/>
  <c r="J104" i="24"/>
  <c r="V72" i="4"/>
  <c r="X72" i="4"/>
  <c r="X71" i="4"/>
  <c r="V71" i="4"/>
  <c r="H34" i="25"/>
  <c r="D150" i="24"/>
  <c r="J155" i="24"/>
  <c r="J154" i="24"/>
  <c r="J153" i="24"/>
  <c r="J152" i="24"/>
  <c r="J151" i="24"/>
  <c r="J149" i="24"/>
  <c r="J143" i="24"/>
  <c r="J142" i="24"/>
  <c r="J141" i="24"/>
  <c r="J135" i="24"/>
  <c r="J134" i="24"/>
  <c r="J133" i="24"/>
  <c r="J125" i="24"/>
  <c r="J124" i="24"/>
  <c r="J123" i="24"/>
  <c r="J122" i="24"/>
  <c r="J121" i="24"/>
  <c r="J106" i="24"/>
  <c r="J105" i="24"/>
  <c r="J103" i="24"/>
  <c r="J100" i="24"/>
  <c r="J99" i="24"/>
  <c r="J98" i="24"/>
  <c r="J97" i="24"/>
  <c r="J96" i="24"/>
  <c r="J84" i="24"/>
  <c r="J83" i="24"/>
  <c r="J82" i="24"/>
  <c r="J81" i="24"/>
  <c r="S18" i="24"/>
  <c r="L265" i="21"/>
  <c r="J210" i="21"/>
  <c r="J209" i="21"/>
  <c r="L312" i="21"/>
  <c r="H312" i="21"/>
  <c r="J251" i="20"/>
  <c r="J250" i="20"/>
  <c r="J249" i="20"/>
  <c r="J248" i="20"/>
  <c r="J247" i="20"/>
  <c r="J245" i="20"/>
  <c r="J183" i="21"/>
  <c r="J184" i="21"/>
  <c r="J185" i="21"/>
  <c r="L260" i="21"/>
  <c r="L261" i="21"/>
  <c r="H260" i="21"/>
  <c r="H261" i="21"/>
  <c r="J316" i="21"/>
  <c r="L316" i="21" s="1"/>
  <c r="F38" i="21" s="1"/>
  <c r="F316" i="21"/>
  <c r="D296" i="21" s="1"/>
  <c r="L315" i="21"/>
  <c r="H315" i="21"/>
  <c r="L314" i="21"/>
  <c r="H314" i="21"/>
  <c r="L313" i="21"/>
  <c r="H313" i="21"/>
  <c r="L311" i="21"/>
  <c r="H311" i="21"/>
  <c r="J301" i="21"/>
  <c r="J300" i="21"/>
  <c r="J299" i="21"/>
  <c r="J298" i="21"/>
  <c r="J297" i="21"/>
  <c r="J295" i="21"/>
  <c r="J289" i="21"/>
  <c r="J288" i="21"/>
  <c r="J287" i="21"/>
  <c r="J276" i="21"/>
  <c r="J275" i="21"/>
  <c r="J274" i="21"/>
  <c r="H265" i="21"/>
  <c r="F79" i="21" s="1"/>
  <c r="H79" i="21" s="1"/>
  <c r="L264" i="21"/>
  <c r="H264" i="21"/>
  <c r="L263" i="21"/>
  <c r="H263" i="21"/>
  <c r="L262" i="21"/>
  <c r="H262" i="21"/>
  <c r="L259" i="21"/>
  <c r="H259" i="21"/>
  <c r="L258" i="21"/>
  <c r="H258" i="21"/>
  <c r="L257" i="21"/>
  <c r="H257" i="21"/>
  <c r="L256" i="21"/>
  <c r="H256" i="21"/>
  <c r="L255" i="21"/>
  <c r="H255" i="21"/>
  <c r="L253" i="21"/>
  <c r="H253" i="21"/>
  <c r="L252" i="21"/>
  <c r="H252" i="21"/>
  <c r="L251" i="21"/>
  <c r="H251" i="21"/>
  <c r="J241" i="21"/>
  <c r="J240" i="21"/>
  <c r="J239" i="21"/>
  <c r="J238" i="21"/>
  <c r="J237" i="21"/>
  <c r="J235" i="21"/>
  <c r="J229" i="21"/>
  <c r="J228" i="21"/>
  <c r="J227" i="21"/>
  <c r="J221" i="21"/>
  <c r="J220" i="21"/>
  <c r="J219" i="21"/>
  <c r="J213" i="21"/>
  <c r="J211" i="21"/>
  <c r="J208" i="21"/>
  <c r="J207" i="21"/>
  <c r="J192" i="21"/>
  <c r="J191" i="21"/>
  <c r="J190" i="21"/>
  <c r="J187" i="21"/>
  <c r="J186" i="21"/>
  <c r="J176" i="21"/>
  <c r="J175" i="21"/>
  <c r="J174" i="21"/>
  <c r="J172" i="21"/>
  <c r="L166" i="21"/>
  <c r="F20" i="21" s="1"/>
  <c r="J20" i="21" s="1"/>
  <c r="F166" i="21"/>
  <c r="H166" i="21" s="1"/>
  <c r="F76" i="21" s="1"/>
  <c r="L165" i="21"/>
  <c r="H165" i="21"/>
  <c r="L164" i="21"/>
  <c r="H164" i="21"/>
  <c r="L163" i="21"/>
  <c r="H163" i="21"/>
  <c r="L162" i="21"/>
  <c r="H162" i="21"/>
  <c r="L161" i="21"/>
  <c r="H161" i="21"/>
  <c r="L160" i="21"/>
  <c r="H160" i="21"/>
  <c r="L159" i="21"/>
  <c r="H159" i="21"/>
  <c r="L158" i="21"/>
  <c r="H158" i="21"/>
  <c r="L157" i="21"/>
  <c r="H157" i="21"/>
  <c r="L156" i="21"/>
  <c r="H156" i="21"/>
  <c r="L155" i="21"/>
  <c r="H155" i="21"/>
  <c r="L154" i="21"/>
  <c r="H154" i="21"/>
  <c r="L153" i="21"/>
  <c r="H153" i="21"/>
  <c r="L152" i="21"/>
  <c r="H152" i="21"/>
  <c r="J141" i="21"/>
  <c r="J140" i="21"/>
  <c r="J139" i="21"/>
  <c r="J138" i="21"/>
  <c r="J137" i="21"/>
  <c r="J135" i="21"/>
  <c r="J129" i="21"/>
  <c r="J128" i="21"/>
  <c r="J127" i="21"/>
  <c r="J121" i="21"/>
  <c r="J120" i="21"/>
  <c r="J119" i="21"/>
  <c r="J116" i="21"/>
  <c r="J115" i="21"/>
  <c r="J114" i="21"/>
  <c r="J107" i="21"/>
  <c r="J106" i="21"/>
  <c r="J105" i="21"/>
  <c r="J104" i="21"/>
  <c r="J97" i="21"/>
  <c r="J95" i="21"/>
  <c r="J94" i="21"/>
  <c r="J93" i="21"/>
  <c r="S18" i="21"/>
  <c r="O19" i="21" s="1"/>
  <c r="J159" i="23"/>
  <c r="J158" i="23"/>
  <c r="J157" i="23"/>
  <c r="J154" i="23"/>
  <c r="J149" i="23"/>
  <c r="J148" i="23"/>
  <c r="J147" i="23"/>
  <c r="J141" i="23"/>
  <c r="J140" i="23"/>
  <c r="J139" i="23"/>
  <c r="J133" i="23"/>
  <c r="J131" i="23"/>
  <c r="J130" i="23"/>
  <c r="J129" i="23"/>
  <c r="J128" i="23"/>
  <c r="J127" i="23"/>
  <c r="J93" i="23"/>
  <c r="J91" i="23"/>
  <c r="J86" i="23"/>
  <c r="J85" i="23"/>
  <c r="J84" i="23"/>
  <c r="J83" i="23"/>
  <c r="AB33" i="23"/>
  <c r="AB32" i="23"/>
  <c r="AB31" i="23"/>
  <c r="AB30" i="23"/>
  <c r="AB29" i="23"/>
  <c r="AB27" i="23"/>
  <c r="AB26" i="23"/>
  <c r="S18" i="23"/>
  <c r="O20" i="23" s="1"/>
  <c r="H10" i="28"/>
  <c r="H9" i="28"/>
  <c r="F9" i="28" s="1"/>
  <c r="J9" i="28" s="1"/>
  <c r="H25" i="28"/>
  <c r="P10" i="27"/>
  <c r="N32" i="27"/>
  <c r="N33" i="27"/>
  <c r="N35" i="27"/>
  <c r="N36" i="27"/>
  <c r="N31" i="27"/>
  <c r="F9" i="34"/>
  <c r="F9" i="33"/>
  <c r="J9" i="33" s="1"/>
  <c r="F9" i="32"/>
  <c r="J9" i="32" s="1"/>
  <c r="J9" i="22"/>
  <c r="F20" i="34"/>
  <c r="AC29" i="34" s="1"/>
  <c r="H24" i="28"/>
  <c r="H58" i="28"/>
  <c r="H53" i="28"/>
  <c r="H52" i="28"/>
  <c r="H51" i="28"/>
  <c r="H47" i="28"/>
  <c r="H46" i="28"/>
  <c r="H45" i="28"/>
  <c r="H44" i="28"/>
  <c r="H40" i="28"/>
  <c r="H39" i="28"/>
  <c r="H38" i="28"/>
  <c r="H37" i="28"/>
  <c r="H33" i="28"/>
  <c r="H32" i="28"/>
  <c r="H31" i="28"/>
  <c r="H30" i="28"/>
  <c r="H21" i="28"/>
  <c r="H20" i="28"/>
  <c r="H19" i="28"/>
  <c r="H18" i="28"/>
  <c r="H17" i="28"/>
  <c r="H16" i="28"/>
  <c r="F26" i="21" l="1"/>
  <c r="Z30" i="21" s="1"/>
  <c r="AQ68" i="4"/>
  <c r="AM68" i="4"/>
  <c r="BM68" i="4"/>
  <c r="BI68" i="4"/>
  <c r="AO68" i="4"/>
  <c r="AN68" i="4"/>
  <c r="BL68" i="4"/>
  <c r="BK68" i="4"/>
  <c r="AP68" i="4"/>
  <c r="J16" i="23"/>
  <c r="F367" i="26"/>
  <c r="J367" i="26" s="1"/>
  <c r="J373" i="26" s="1"/>
  <c r="F42" i="26" s="1"/>
  <c r="Z36" i="26" s="1"/>
  <c r="DP68" i="4"/>
  <c r="DB68" i="4"/>
  <c r="CG68" i="4"/>
  <c r="DC68" i="4"/>
  <c r="CH68" i="4"/>
  <c r="DD68" i="4"/>
  <c r="CE68" i="4"/>
  <c r="CI68" i="4"/>
  <c r="DA68" i="4"/>
  <c r="DE68" i="4"/>
  <c r="CF68" i="4"/>
  <c r="O19" i="24"/>
  <c r="J127" i="24"/>
  <c r="J128" i="24" s="1"/>
  <c r="F19" i="24" s="1"/>
  <c r="H19" i="24" s="1"/>
  <c r="H17" i="36"/>
  <c r="CT68" i="4"/>
  <c r="CZ68" i="4"/>
  <c r="BG68" i="4"/>
  <c r="CD68" i="4"/>
  <c r="BX68" i="4"/>
  <c r="BH68" i="4"/>
  <c r="BB68" i="4"/>
  <c r="AL68" i="4"/>
  <c r="J18" i="36"/>
  <c r="AC25" i="36"/>
  <c r="J19" i="35"/>
  <c r="BQ68" i="4"/>
  <c r="BE68" i="4"/>
  <c r="AR68" i="4"/>
  <c r="CS68" i="4"/>
  <c r="F22" i="36"/>
  <c r="CN68" i="4"/>
  <c r="J47" i="26"/>
  <c r="J17" i="36"/>
  <c r="J22" i="36" s="1"/>
  <c r="AK68" i="4"/>
  <c r="CB68" i="4"/>
  <c r="H19" i="36"/>
  <c r="AC26" i="36"/>
  <c r="F36" i="26"/>
  <c r="H42" i="26"/>
  <c r="BC68" i="4"/>
  <c r="CY68" i="4"/>
  <c r="AS68" i="4"/>
  <c r="AY68" i="4"/>
  <c r="CQ68" i="4"/>
  <c r="J90" i="24"/>
  <c r="Z30" i="24"/>
  <c r="AU68" i="4"/>
  <c r="AT68" i="4"/>
  <c r="CK68" i="4"/>
  <c r="DL68" i="4"/>
  <c r="BU68" i="4"/>
  <c r="BR68" i="4"/>
  <c r="AJ68" i="4"/>
  <c r="BD68" i="4"/>
  <c r="CJ68" i="4"/>
  <c r="DH68" i="4"/>
  <c r="CV68" i="4"/>
  <c r="CU68" i="4"/>
  <c r="AZ68" i="4"/>
  <c r="AI68" i="4"/>
  <c r="BO68" i="4"/>
  <c r="BP68" i="4"/>
  <c r="CO68" i="4"/>
  <c r="DM68" i="4"/>
  <c r="DQ68" i="4"/>
  <c r="CP68" i="4"/>
  <c r="DK68" i="4"/>
  <c r="AV68" i="4"/>
  <c r="BN68" i="4"/>
  <c r="AW68" i="4"/>
  <c r="BW68" i="4"/>
  <c r="BF68" i="4"/>
  <c r="BY68" i="4"/>
  <c r="CR68" i="4"/>
  <c r="DI68" i="4"/>
  <c r="CM68" i="4"/>
  <c r="DJ68" i="4"/>
  <c r="DO68" i="4"/>
  <c r="CW68" i="4"/>
  <c r="BZ68" i="4"/>
  <c r="BV68" i="4"/>
  <c r="BA68" i="4"/>
  <c r="BS68" i="4"/>
  <c r="AX68" i="4"/>
  <c r="BT68" i="4"/>
  <c r="CA68" i="4"/>
  <c r="DF68" i="4"/>
  <c r="DR68" i="4"/>
  <c r="DN68" i="4"/>
  <c r="CC68" i="4"/>
  <c r="CX68" i="4"/>
  <c r="CL68" i="4"/>
  <c r="DG68" i="4"/>
  <c r="J58" i="36"/>
  <c r="J60" i="36" s="1"/>
  <c r="H58" i="36"/>
  <c r="H60" i="36" s="1"/>
  <c r="H105" i="30"/>
  <c r="J105" i="30" s="1"/>
  <c r="F155" i="30"/>
  <c r="J19" i="23"/>
  <c r="J22" i="37"/>
  <c r="F22" i="37"/>
  <c r="H55" i="37"/>
  <c r="H64" i="37" s="1"/>
  <c r="F104" i="30"/>
  <c r="F60" i="37"/>
  <c r="H108" i="30" s="1"/>
  <c r="J60" i="37"/>
  <c r="F30" i="26"/>
  <c r="J30" i="26" s="1"/>
  <c r="F26" i="26"/>
  <c r="H26" i="26" s="1"/>
  <c r="F91" i="26"/>
  <c r="H91" i="26" s="1"/>
  <c r="F62" i="23"/>
  <c r="AC33" i="23"/>
  <c r="J24" i="23"/>
  <c r="AH72" i="4"/>
  <c r="AH71" i="4"/>
  <c r="F22" i="35"/>
  <c r="AC24" i="35"/>
  <c r="H18" i="26"/>
  <c r="H48" i="26"/>
  <c r="H43" i="26"/>
  <c r="J43" i="26"/>
  <c r="H39" i="26"/>
  <c r="J39" i="26"/>
  <c r="J41" i="26"/>
  <c r="H41" i="26"/>
  <c r="H16" i="26"/>
  <c r="J16" i="26"/>
  <c r="J25" i="26"/>
  <c r="H25" i="26"/>
  <c r="J49" i="26"/>
  <c r="H49" i="26"/>
  <c r="J37" i="26"/>
  <c r="H37" i="26"/>
  <c r="J31" i="26"/>
  <c r="H31" i="26"/>
  <c r="H19" i="26"/>
  <c r="J19" i="26"/>
  <c r="J40" i="26"/>
  <c r="H40" i="26"/>
  <c r="J15" i="26"/>
  <c r="H15" i="26"/>
  <c r="J24" i="26"/>
  <c r="H24" i="26"/>
  <c r="Z35" i="26"/>
  <c r="J17" i="26"/>
  <c r="H17" i="26"/>
  <c r="J88" i="26"/>
  <c r="F51" i="26"/>
  <c r="J97" i="26"/>
  <c r="F21" i="26"/>
  <c r="Z33" i="26"/>
  <c r="J58" i="35"/>
  <c r="J60" i="35" s="1"/>
  <c r="H58" i="35"/>
  <c r="H60" i="35" s="1"/>
  <c r="H18" i="35"/>
  <c r="J18" i="35"/>
  <c r="H17" i="35"/>
  <c r="J17" i="35"/>
  <c r="J222" i="21"/>
  <c r="F28" i="21" s="1"/>
  <c r="J28" i="21" s="1"/>
  <c r="H27" i="20"/>
  <c r="AC27" i="20"/>
  <c r="J27" i="20"/>
  <c r="AC28" i="23"/>
  <c r="J136" i="24"/>
  <c r="J23" i="24"/>
  <c r="J9" i="25"/>
  <c r="H38" i="22"/>
  <c r="J38" i="22"/>
  <c r="H26" i="21"/>
  <c r="F60" i="36"/>
  <c r="AC35" i="36" s="1"/>
  <c r="F60" i="35"/>
  <c r="AC35" i="35" s="1"/>
  <c r="J113" i="23"/>
  <c r="J150" i="23"/>
  <c r="J94" i="23"/>
  <c r="F17" i="23" s="1"/>
  <c r="H17" i="23" s="1"/>
  <c r="J142" i="23"/>
  <c r="D155" i="23"/>
  <c r="F150" i="24"/>
  <c r="J150" i="24" s="1"/>
  <c r="J156" i="24" s="1"/>
  <c r="F22" i="24" s="1"/>
  <c r="H22" i="24" s="1"/>
  <c r="D151" i="24"/>
  <c r="F61" i="24"/>
  <c r="J144" i="24"/>
  <c r="J21" i="24" s="1"/>
  <c r="J107" i="24"/>
  <c r="J17" i="24" s="1"/>
  <c r="H76" i="21"/>
  <c r="J76" i="21"/>
  <c r="J38" i="21"/>
  <c r="H38" i="21"/>
  <c r="D136" i="21"/>
  <c r="F136" i="21" s="1"/>
  <c r="J136" i="21" s="1"/>
  <c r="J142" i="21" s="1"/>
  <c r="H20" i="21"/>
  <c r="J79" i="21"/>
  <c r="D236" i="21"/>
  <c r="D237" i="21" s="1"/>
  <c r="J230" i="21"/>
  <c r="F29" i="21" s="1"/>
  <c r="J99" i="21"/>
  <c r="F15" i="21" s="1"/>
  <c r="J15" i="21" s="1"/>
  <c r="J108" i="21"/>
  <c r="F16" i="21" s="1"/>
  <c r="J16" i="21" s="1"/>
  <c r="J122" i="21"/>
  <c r="F17" i="21" s="1"/>
  <c r="J17" i="21" s="1"/>
  <c r="J290" i="21"/>
  <c r="F36" i="21" s="1"/>
  <c r="H36" i="21" s="1"/>
  <c r="F31" i="21"/>
  <c r="J282" i="21"/>
  <c r="F35" i="21" s="1"/>
  <c r="H35" i="21" s="1"/>
  <c r="J193" i="21"/>
  <c r="F25" i="21" s="1"/>
  <c r="J130" i="21"/>
  <c r="F18" i="21" s="1"/>
  <c r="H18" i="21" s="1"/>
  <c r="J177" i="21"/>
  <c r="F24" i="21" s="1"/>
  <c r="J214" i="21"/>
  <c r="Z42" i="21"/>
  <c r="F296" i="21"/>
  <c r="J296" i="21" s="1"/>
  <c r="J302" i="21" s="1"/>
  <c r="F37" i="21" s="1"/>
  <c r="H37" i="21" s="1"/>
  <c r="D297" i="21"/>
  <c r="H316" i="21"/>
  <c r="J134" i="23"/>
  <c r="F20" i="23" s="1"/>
  <c r="H20" i="23" s="1"/>
  <c r="J34" i="25"/>
  <c r="F39" i="30"/>
  <c r="F64" i="30" s="1"/>
  <c r="F38" i="30"/>
  <c r="F63" i="30" s="1"/>
  <c r="F88" i="30" s="1"/>
  <c r="F37" i="30"/>
  <c r="F62" i="30" s="1"/>
  <c r="F87" i="30" s="1"/>
  <c r="F112" i="30" s="1"/>
  <c r="F10" i="30"/>
  <c r="F9" i="30"/>
  <c r="F8" i="30"/>
  <c r="F29" i="30"/>
  <c r="F28" i="30"/>
  <c r="F24" i="30"/>
  <c r="H103" i="29"/>
  <c r="J103" i="29" s="1"/>
  <c r="J89" i="29"/>
  <c r="J90" i="29"/>
  <c r="J134" i="29"/>
  <c r="L134" i="29" s="1"/>
  <c r="F21" i="29" s="1"/>
  <c r="F134" i="29"/>
  <c r="D112" i="29" s="1"/>
  <c r="L133" i="29"/>
  <c r="H133" i="29"/>
  <c r="L132" i="29"/>
  <c r="H132" i="29"/>
  <c r="L131" i="29"/>
  <c r="H131" i="29"/>
  <c r="L130" i="29"/>
  <c r="H130" i="29"/>
  <c r="L129" i="29"/>
  <c r="H129" i="29"/>
  <c r="L128" i="29"/>
  <c r="H128" i="29"/>
  <c r="J117" i="29"/>
  <c r="J116" i="29"/>
  <c r="H20" i="29" s="1"/>
  <c r="J115" i="29"/>
  <c r="J114" i="29"/>
  <c r="J113" i="29"/>
  <c r="J111" i="29"/>
  <c r="J105" i="29"/>
  <c r="J104" i="29"/>
  <c r="J102" i="29"/>
  <c r="J96" i="29"/>
  <c r="J95" i="29"/>
  <c r="J94" i="29"/>
  <c r="J91" i="29"/>
  <c r="J88" i="29"/>
  <c r="J87" i="29"/>
  <c r="J78" i="29"/>
  <c r="J77" i="29"/>
  <c r="J72" i="29"/>
  <c r="J71" i="29"/>
  <c r="F16" i="29" s="1"/>
  <c r="AB28" i="29"/>
  <c r="AB27" i="29"/>
  <c r="AB26" i="29"/>
  <c r="AB25" i="29"/>
  <c r="AB24" i="29"/>
  <c r="L125" i="28"/>
  <c r="L126" i="28"/>
  <c r="L127" i="28"/>
  <c r="L128" i="28"/>
  <c r="L129" i="28"/>
  <c r="L124" i="28"/>
  <c r="H125" i="28"/>
  <c r="H126" i="28"/>
  <c r="H127" i="28"/>
  <c r="H128" i="28"/>
  <c r="H129" i="28"/>
  <c r="H124" i="28"/>
  <c r="J71" i="28"/>
  <c r="F16" i="28" s="1"/>
  <c r="J130" i="28"/>
  <c r="L130" i="28" s="1"/>
  <c r="F21" i="28" s="1"/>
  <c r="F130" i="28"/>
  <c r="H130" i="28" s="1"/>
  <c r="F58" i="28" s="1"/>
  <c r="J113" i="28"/>
  <c r="J112" i="28"/>
  <c r="J20" i="28" s="1"/>
  <c r="J111" i="28"/>
  <c r="J110" i="28"/>
  <c r="J109" i="28"/>
  <c r="J107" i="28"/>
  <c r="J101" i="28"/>
  <c r="J100" i="28"/>
  <c r="J99" i="28"/>
  <c r="J93" i="28"/>
  <c r="J92" i="28"/>
  <c r="J91" i="28"/>
  <c r="J88" i="28"/>
  <c r="J87" i="28"/>
  <c r="J86" i="28"/>
  <c r="J78" i="28"/>
  <c r="J77" i="28"/>
  <c r="J72" i="28"/>
  <c r="J311" i="25"/>
  <c r="F120" i="33"/>
  <c r="J120" i="33" s="1"/>
  <c r="J303" i="25"/>
  <c r="J397" i="25"/>
  <c r="L397" i="25" s="1"/>
  <c r="F47" i="25" s="1"/>
  <c r="F397" i="25"/>
  <c r="D378" i="25" s="1"/>
  <c r="L396" i="25"/>
  <c r="H396" i="25"/>
  <c r="L395" i="25"/>
  <c r="H395" i="25"/>
  <c r="L394" i="25"/>
  <c r="H394" i="25"/>
  <c r="L393" i="25"/>
  <c r="H393" i="25"/>
  <c r="J383" i="25"/>
  <c r="J382" i="25"/>
  <c r="J381" i="25"/>
  <c r="J380" i="25"/>
  <c r="J379" i="25"/>
  <c r="J377" i="25"/>
  <c r="J371" i="25"/>
  <c r="J370" i="25"/>
  <c r="J369" i="25"/>
  <c r="J358" i="25"/>
  <c r="J357" i="25"/>
  <c r="J356" i="25"/>
  <c r="J347" i="25"/>
  <c r="L347" i="25" s="1"/>
  <c r="F40" i="25" s="1"/>
  <c r="Z34" i="25" s="1"/>
  <c r="H347" i="25"/>
  <c r="F91" i="25" s="1"/>
  <c r="H91" i="25" s="1"/>
  <c r="L346" i="25"/>
  <c r="H346" i="25"/>
  <c r="L345" i="25"/>
  <c r="H345" i="25"/>
  <c r="L344" i="25"/>
  <c r="H344" i="25"/>
  <c r="L343" i="25"/>
  <c r="H343" i="25"/>
  <c r="L342" i="25"/>
  <c r="H342" i="25"/>
  <c r="L341" i="25"/>
  <c r="H341" i="25"/>
  <c r="L340" i="25"/>
  <c r="H340" i="25"/>
  <c r="L339" i="25"/>
  <c r="H339" i="25"/>
  <c r="L337" i="25"/>
  <c r="H337" i="25"/>
  <c r="L336" i="25"/>
  <c r="H336" i="25"/>
  <c r="L335" i="25"/>
  <c r="H335" i="25"/>
  <c r="J325" i="25"/>
  <c r="J324" i="25"/>
  <c r="J323" i="25"/>
  <c r="J322" i="25"/>
  <c r="J321" i="25"/>
  <c r="J319" i="25"/>
  <c r="J313" i="25"/>
  <c r="J312" i="25"/>
  <c r="J305" i="25"/>
  <c r="J304" i="25"/>
  <c r="J297" i="25"/>
  <c r="J295" i="25"/>
  <c r="J294" i="25"/>
  <c r="J293" i="25"/>
  <c r="J292" i="25"/>
  <c r="J291" i="25"/>
  <c r="J276" i="25"/>
  <c r="J275" i="25"/>
  <c r="J274" i="25"/>
  <c r="J271" i="25"/>
  <c r="J270" i="25"/>
  <c r="J269" i="25"/>
  <c r="J262" i="25"/>
  <c r="J261" i="25"/>
  <c r="J260" i="25"/>
  <c r="J259" i="25"/>
  <c r="J253" i="25"/>
  <c r="L253" i="25" s="1"/>
  <c r="F29" i="25" s="1"/>
  <c r="H29" i="25" s="1"/>
  <c r="F253" i="25"/>
  <c r="D228" i="25" s="1"/>
  <c r="L252" i="25"/>
  <c r="H252" i="25"/>
  <c r="L251" i="25"/>
  <c r="H251" i="25"/>
  <c r="L250" i="25"/>
  <c r="H250" i="25"/>
  <c r="L249" i="25"/>
  <c r="H249" i="25"/>
  <c r="L248" i="25"/>
  <c r="H248" i="25"/>
  <c r="L247" i="25"/>
  <c r="H247" i="25"/>
  <c r="L246" i="25"/>
  <c r="H246" i="25"/>
  <c r="L245" i="25"/>
  <c r="H245" i="25"/>
  <c r="L244" i="25"/>
  <c r="H244" i="25"/>
  <c r="L243" i="25"/>
  <c r="H243" i="25"/>
  <c r="J233" i="25"/>
  <c r="J232" i="25"/>
  <c r="J231" i="25"/>
  <c r="J230" i="25"/>
  <c r="J229" i="25"/>
  <c r="J227" i="25"/>
  <c r="J221" i="25"/>
  <c r="J220" i="25"/>
  <c r="J219" i="25"/>
  <c r="J213" i="25"/>
  <c r="J212" i="25"/>
  <c r="J211" i="25"/>
  <c r="J208" i="25"/>
  <c r="J207" i="25"/>
  <c r="J206" i="25"/>
  <c r="J199" i="25"/>
  <c r="J198" i="25"/>
  <c r="J197" i="25"/>
  <c r="J196" i="25"/>
  <c r="J189" i="25"/>
  <c r="J187" i="25"/>
  <c r="J186" i="25"/>
  <c r="J185" i="25"/>
  <c r="J179" i="25"/>
  <c r="L179" i="25" s="1"/>
  <c r="F20" i="25" s="1"/>
  <c r="J20" i="25" s="1"/>
  <c r="F179" i="25"/>
  <c r="H179" i="25" s="1"/>
  <c r="F85" i="25" s="1"/>
  <c r="H85" i="25" s="1"/>
  <c r="L178" i="25"/>
  <c r="H178" i="25"/>
  <c r="L177" i="25"/>
  <c r="H177" i="25"/>
  <c r="L176" i="25"/>
  <c r="H176" i="25"/>
  <c r="L175" i="25"/>
  <c r="H175" i="25"/>
  <c r="L174" i="25"/>
  <c r="H174" i="25"/>
  <c r="L173" i="25"/>
  <c r="H173" i="25"/>
  <c r="L172" i="25"/>
  <c r="H172" i="25"/>
  <c r="L171" i="25"/>
  <c r="H171" i="25"/>
  <c r="L170" i="25"/>
  <c r="H170" i="25"/>
  <c r="L169" i="25"/>
  <c r="H169" i="25"/>
  <c r="L168" i="25"/>
  <c r="H168" i="25"/>
  <c r="L167" i="25"/>
  <c r="H167" i="25"/>
  <c r="L166" i="25"/>
  <c r="H166" i="25"/>
  <c r="L165" i="25"/>
  <c r="H165" i="25"/>
  <c r="L164" i="25"/>
  <c r="H164" i="25"/>
  <c r="J153" i="25"/>
  <c r="J152" i="25"/>
  <c r="J151" i="25"/>
  <c r="J150" i="25"/>
  <c r="J149" i="25"/>
  <c r="J147" i="25"/>
  <c r="J141" i="25"/>
  <c r="J140" i="25"/>
  <c r="J139" i="25"/>
  <c r="J133" i="25"/>
  <c r="J132" i="25"/>
  <c r="J131" i="25"/>
  <c r="J128" i="25"/>
  <c r="J127" i="25"/>
  <c r="J126" i="25"/>
  <c r="J119" i="25"/>
  <c r="J118" i="25"/>
  <c r="J117" i="25"/>
  <c r="J116" i="25"/>
  <c r="J109" i="25"/>
  <c r="J107" i="25"/>
  <c r="J106" i="25"/>
  <c r="J105" i="25"/>
  <c r="S18" i="25"/>
  <c r="O19" i="25" s="1"/>
  <c r="L154" i="33"/>
  <c r="L155" i="33"/>
  <c r="L156" i="33"/>
  <c r="L157" i="33"/>
  <c r="L158" i="33"/>
  <c r="L159" i="33"/>
  <c r="L160" i="33"/>
  <c r="L161" i="33"/>
  <c r="L162" i="33"/>
  <c r="L163" i="33"/>
  <c r="L164" i="33"/>
  <c r="L165" i="33"/>
  <c r="L166" i="33"/>
  <c r="L167" i="33"/>
  <c r="L168" i="33"/>
  <c r="L153" i="33"/>
  <c r="H154" i="33"/>
  <c r="H155" i="33"/>
  <c r="H156" i="33"/>
  <c r="H157" i="33"/>
  <c r="H158" i="33"/>
  <c r="H159" i="33"/>
  <c r="H160" i="33"/>
  <c r="H161" i="33"/>
  <c r="H162" i="33"/>
  <c r="H163" i="33"/>
  <c r="H164" i="33"/>
  <c r="H165" i="33"/>
  <c r="H166" i="33"/>
  <c r="H167" i="33"/>
  <c r="H168" i="33"/>
  <c r="H153" i="33"/>
  <c r="F122" i="32"/>
  <c r="J122" i="32" s="1"/>
  <c r="L164" i="32"/>
  <c r="H164" i="32"/>
  <c r="L170" i="32"/>
  <c r="L156" i="32"/>
  <c r="L157" i="32"/>
  <c r="L158" i="32"/>
  <c r="L159" i="32"/>
  <c r="L160" i="32"/>
  <c r="L161" i="32"/>
  <c r="L162" i="32"/>
  <c r="L163" i="32"/>
  <c r="L165" i="32"/>
  <c r="L166" i="32"/>
  <c r="L167" i="32"/>
  <c r="L168" i="32"/>
  <c r="L169" i="32"/>
  <c r="L155" i="32"/>
  <c r="H156" i="32"/>
  <c r="H157" i="32"/>
  <c r="H158" i="32"/>
  <c r="H159" i="32"/>
  <c r="H160" i="32"/>
  <c r="H161" i="32"/>
  <c r="H162" i="32"/>
  <c r="H163" i="32"/>
  <c r="H165" i="32"/>
  <c r="H166" i="32"/>
  <c r="H167" i="32"/>
  <c r="H168" i="32"/>
  <c r="H169" i="32"/>
  <c r="H170" i="32"/>
  <c r="H155" i="32"/>
  <c r="J171" i="32"/>
  <c r="L171" i="32" s="1"/>
  <c r="F23" i="32" s="1"/>
  <c r="H23" i="32" s="1"/>
  <c r="F171" i="32"/>
  <c r="H171" i="32" s="1"/>
  <c r="F60" i="32" s="1"/>
  <c r="J60" i="32" s="1"/>
  <c r="J144" i="32"/>
  <c r="J143" i="32"/>
  <c r="H22" i="32" s="1"/>
  <c r="J142" i="32"/>
  <c r="J141" i="32"/>
  <c r="J140" i="32"/>
  <c r="J138" i="32"/>
  <c r="J132" i="32"/>
  <c r="J131" i="32"/>
  <c r="J130" i="32"/>
  <c r="J124" i="32"/>
  <c r="J123" i="32"/>
  <c r="J116" i="32"/>
  <c r="J115" i="32"/>
  <c r="J112" i="32"/>
  <c r="J111" i="32"/>
  <c r="J110" i="32"/>
  <c r="J109" i="32"/>
  <c r="J103" i="32"/>
  <c r="J102" i="32"/>
  <c r="J101" i="32"/>
  <c r="J100" i="32"/>
  <c r="J99" i="32"/>
  <c r="J96" i="32"/>
  <c r="J95" i="32"/>
  <c r="J94" i="32"/>
  <c r="J93" i="32"/>
  <c r="J92" i="32"/>
  <c r="J91" i="32"/>
  <c r="J90" i="32"/>
  <c r="J82" i="32"/>
  <c r="J81" i="32"/>
  <c r="J80" i="32"/>
  <c r="J79" i="32"/>
  <c r="J78" i="32"/>
  <c r="J73" i="32"/>
  <c r="F16" i="32" s="1"/>
  <c r="J16" i="32" s="1"/>
  <c r="AB32" i="32"/>
  <c r="AB31" i="32"/>
  <c r="AB30" i="32"/>
  <c r="AB29" i="32"/>
  <c r="AB28" i="32"/>
  <c r="AB27" i="32"/>
  <c r="AB26" i="32"/>
  <c r="S18" i="32"/>
  <c r="O19" i="32" s="1"/>
  <c r="H10" i="30"/>
  <c r="J169" i="33"/>
  <c r="L169" i="33" s="1"/>
  <c r="F23" i="33" s="1"/>
  <c r="AC32" i="33" s="1"/>
  <c r="F169" i="33"/>
  <c r="H169" i="33" s="1"/>
  <c r="F60" i="33" s="1"/>
  <c r="J60" i="33" s="1"/>
  <c r="J142" i="33"/>
  <c r="J141" i="33"/>
  <c r="H22" i="33" s="1"/>
  <c r="J140" i="33"/>
  <c r="J139" i="33"/>
  <c r="J138" i="33"/>
  <c r="J136" i="33"/>
  <c r="J130" i="33"/>
  <c r="J129" i="33"/>
  <c r="J128" i="33"/>
  <c r="J122" i="33"/>
  <c r="J121" i="33"/>
  <c r="J114" i="33"/>
  <c r="J113" i="33"/>
  <c r="J110" i="33"/>
  <c r="J109" i="33"/>
  <c r="J108" i="33"/>
  <c r="J107" i="33"/>
  <c r="J101" i="33"/>
  <c r="J100" i="33"/>
  <c r="J99" i="33"/>
  <c r="J98" i="33"/>
  <c r="J95" i="33"/>
  <c r="J94" i="33"/>
  <c r="J93" i="33"/>
  <c r="J92" i="33"/>
  <c r="J91" i="33"/>
  <c r="J90" i="33"/>
  <c r="J82" i="33"/>
  <c r="J81" i="33"/>
  <c r="J80" i="33"/>
  <c r="J79" i="33"/>
  <c r="J78" i="33"/>
  <c r="J73" i="33"/>
  <c r="F16" i="33" s="1"/>
  <c r="H16" i="33" s="1"/>
  <c r="AB32" i="33"/>
  <c r="AB31" i="33"/>
  <c r="AB30" i="33"/>
  <c r="AB29" i="33"/>
  <c r="AB28" i="33"/>
  <c r="AB27" i="33"/>
  <c r="AB26" i="33"/>
  <c r="S18" i="33"/>
  <c r="O19" i="33" s="1"/>
  <c r="J73" i="34"/>
  <c r="F16" i="34" s="1"/>
  <c r="F123" i="34"/>
  <c r="J123" i="34" s="1"/>
  <c r="J94" i="34"/>
  <c r="J93" i="34"/>
  <c r="J95" i="34"/>
  <c r="J101" i="34"/>
  <c r="J102" i="34"/>
  <c r="J103" i="34"/>
  <c r="J92" i="34"/>
  <c r="J96" i="34"/>
  <c r="J97" i="34"/>
  <c r="J104" i="34"/>
  <c r="J100" i="34"/>
  <c r="J91" i="34"/>
  <c r="J145" i="34"/>
  <c r="J144" i="34"/>
  <c r="AC31" i="34" s="1"/>
  <c r="J143" i="34"/>
  <c r="J142" i="34"/>
  <c r="J141" i="34"/>
  <c r="J139" i="34"/>
  <c r="F112" i="34"/>
  <c r="J112" i="34" s="1"/>
  <c r="F111" i="34"/>
  <c r="J111" i="34" s="1"/>
  <c r="F110" i="34"/>
  <c r="J110" i="34" s="1"/>
  <c r="F113" i="34"/>
  <c r="J113" i="34" s="1"/>
  <c r="L156" i="34"/>
  <c r="L157" i="34" s="1"/>
  <c r="L158" i="34" s="1"/>
  <c r="L159" i="34" s="1"/>
  <c r="L160" i="34" s="1"/>
  <c r="L161" i="34" s="1"/>
  <c r="L162" i="34" s="1"/>
  <c r="L163" i="34" s="1"/>
  <c r="L164" i="34" s="1"/>
  <c r="L165" i="34" s="1"/>
  <c r="L166" i="34" s="1"/>
  <c r="L167" i="34" s="1"/>
  <c r="L168" i="34" s="1"/>
  <c r="L169" i="34" s="1"/>
  <c r="L170" i="34" s="1"/>
  <c r="L171" i="34" s="1"/>
  <c r="L172" i="34" s="1"/>
  <c r="H156" i="34"/>
  <c r="H157" i="34" s="1"/>
  <c r="H158" i="34" s="1"/>
  <c r="H159" i="34" s="1"/>
  <c r="H160" i="34" s="1"/>
  <c r="H161" i="34" s="1"/>
  <c r="H162" i="34" s="1"/>
  <c r="H163" i="34" s="1"/>
  <c r="H164" i="34" s="1"/>
  <c r="H165" i="34" s="1"/>
  <c r="H166" i="34" s="1"/>
  <c r="H167" i="34" s="1"/>
  <c r="H168" i="34" s="1"/>
  <c r="H169" i="34" s="1"/>
  <c r="H170" i="34" s="1"/>
  <c r="H171" i="34" s="1"/>
  <c r="H172" i="34" s="1"/>
  <c r="J173" i="34"/>
  <c r="L173" i="34" s="1"/>
  <c r="F23" i="34" s="1"/>
  <c r="F173" i="34"/>
  <c r="H173" i="34" s="1"/>
  <c r="J133" i="34"/>
  <c r="J132" i="34"/>
  <c r="J131" i="34"/>
  <c r="J125" i="34"/>
  <c r="J124" i="34"/>
  <c r="J117" i="34"/>
  <c r="J114" i="34"/>
  <c r="J83" i="34"/>
  <c r="J82" i="34"/>
  <c r="J81" i="34"/>
  <c r="J80" i="34"/>
  <c r="J79" i="34"/>
  <c r="J78" i="34"/>
  <c r="AB32" i="34"/>
  <c r="AB31" i="34"/>
  <c r="AB30" i="34"/>
  <c r="AB29" i="34"/>
  <c r="AB28" i="34"/>
  <c r="AB27" i="34"/>
  <c r="AB26" i="34"/>
  <c r="S18" i="34"/>
  <c r="O19" i="34" s="1"/>
  <c r="J416" i="22"/>
  <c r="J415" i="22"/>
  <c r="J414" i="22"/>
  <c r="J413" i="22"/>
  <c r="J412" i="22"/>
  <c r="J410" i="22"/>
  <c r="J380" i="22"/>
  <c r="L372" i="22"/>
  <c r="H372" i="22"/>
  <c r="J134" i="22"/>
  <c r="J135" i="22"/>
  <c r="J136" i="22"/>
  <c r="J213" i="22"/>
  <c r="J214" i="22"/>
  <c r="J215" i="22"/>
  <c r="J307" i="22"/>
  <c r="J308" i="22"/>
  <c r="J309" i="22"/>
  <c r="J304" i="22"/>
  <c r="J303" i="22"/>
  <c r="J302" i="22"/>
  <c r="J26" i="21" l="1"/>
  <c r="H51" i="26"/>
  <c r="F22" i="23"/>
  <c r="H22" i="23" s="1"/>
  <c r="J21" i="23"/>
  <c r="F21" i="23"/>
  <c r="H21" i="23" s="1"/>
  <c r="F27" i="21"/>
  <c r="H27" i="21" s="1"/>
  <c r="Z30" i="26"/>
  <c r="F44" i="26"/>
  <c r="H36" i="26"/>
  <c r="H44" i="26" s="1"/>
  <c r="J42" i="26"/>
  <c r="H62" i="23"/>
  <c r="H64" i="23" s="1"/>
  <c r="J61" i="24"/>
  <c r="J63" i="24" s="1"/>
  <c r="H61" i="24"/>
  <c r="H63" i="24" s="1"/>
  <c r="F20" i="24"/>
  <c r="H20" i="24" s="1"/>
  <c r="H22" i="36"/>
  <c r="J16" i="28"/>
  <c r="AC23" i="28"/>
  <c r="J58" i="28"/>
  <c r="AC35" i="28"/>
  <c r="J21" i="28"/>
  <c r="AC28" i="28"/>
  <c r="J51" i="26"/>
  <c r="H60" i="32"/>
  <c r="H62" i="32" s="1"/>
  <c r="AC31" i="32"/>
  <c r="J22" i="34"/>
  <c r="J16" i="24"/>
  <c r="F138" i="30"/>
  <c r="F113" i="30"/>
  <c r="J36" i="26"/>
  <c r="J44" i="26" s="1"/>
  <c r="J17" i="23"/>
  <c r="F154" i="30"/>
  <c r="F129" i="30"/>
  <c r="H62" i="37"/>
  <c r="J18" i="24"/>
  <c r="J23" i="32"/>
  <c r="J22" i="32"/>
  <c r="AC32" i="32"/>
  <c r="H16" i="32"/>
  <c r="AC25" i="32"/>
  <c r="J16" i="33"/>
  <c r="J22" i="33"/>
  <c r="AC31" i="33"/>
  <c r="AC25" i="33"/>
  <c r="H60" i="33"/>
  <c r="H62" i="33" s="1"/>
  <c r="J23" i="33"/>
  <c r="H23" i="33"/>
  <c r="H22" i="34"/>
  <c r="H20" i="25"/>
  <c r="J29" i="25"/>
  <c r="J85" i="25"/>
  <c r="H30" i="26"/>
  <c r="H33" i="26" s="1"/>
  <c r="F63" i="24"/>
  <c r="H99" i="30" s="1"/>
  <c r="F18" i="23"/>
  <c r="J91" i="26"/>
  <c r="J98" i="26" s="1"/>
  <c r="J22" i="35"/>
  <c r="F33" i="26"/>
  <c r="J62" i="23"/>
  <c r="J64" i="23" s="1"/>
  <c r="H97" i="30"/>
  <c r="H58" i="30"/>
  <c r="H104" i="30"/>
  <c r="J104" i="30" s="1"/>
  <c r="F98" i="26"/>
  <c r="H102" i="30" s="1"/>
  <c r="J26" i="26"/>
  <c r="J33" i="26" s="1"/>
  <c r="H22" i="35"/>
  <c r="J16" i="29"/>
  <c r="AC23" i="29"/>
  <c r="J16" i="34"/>
  <c r="AC25" i="34"/>
  <c r="J47" i="25"/>
  <c r="H47" i="25"/>
  <c r="J20" i="29"/>
  <c r="AC27" i="29"/>
  <c r="J91" i="25"/>
  <c r="H21" i="29"/>
  <c r="AC28" i="29"/>
  <c r="AC29" i="23"/>
  <c r="J20" i="23"/>
  <c r="J23" i="34"/>
  <c r="AC32" i="34"/>
  <c r="J40" i="25"/>
  <c r="H40" i="25"/>
  <c r="F64" i="23"/>
  <c r="AC40" i="23" s="1"/>
  <c r="Z32" i="21"/>
  <c r="H28" i="21"/>
  <c r="J21" i="26"/>
  <c r="H21" i="26"/>
  <c r="H98" i="26"/>
  <c r="H16" i="29"/>
  <c r="J21" i="29"/>
  <c r="AC26" i="23"/>
  <c r="AC31" i="23"/>
  <c r="AC30" i="23"/>
  <c r="Z35" i="24"/>
  <c r="Z28" i="24"/>
  <c r="Z33" i="24"/>
  <c r="J19" i="24"/>
  <c r="Z42" i="24"/>
  <c r="J306" i="25"/>
  <c r="F37" i="25" s="1"/>
  <c r="Z31" i="25" s="1"/>
  <c r="J142" i="25"/>
  <c r="F18" i="25" s="1"/>
  <c r="J372" i="25"/>
  <c r="F45" i="25" s="1"/>
  <c r="J364" i="25"/>
  <c r="F44" i="25" s="1"/>
  <c r="J200" i="25"/>
  <c r="F25" i="25" s="1"/>
  <c r="J222" i="25"/>
  <c r="F27" i="25" s="1"/>
  <c r="J277" i="25"/>
  <c r="J134" i="25"/>
  <c r="F17" i="25" s="1"/>
  <c r="J191" i="25"/>
  <c r="F24" i="25" s="1"/>
  <c r="J111" i="25"/>
  <c r="F15" i="25" s="1"/>
  <c r="J263" i="25"/>
  <c r="F33" i="25" s="1"/>
  <c r="J36" i="21"/>
  <c r="D137" i="21"/>
  <c r="H17" i="21"/>
  <c r="J35" i="21"/>
  <c r="J155" i="23"/>
  <c r="D156" i="23"/>
  <c r="J156" i="23" s="1"/>
  <c r="Z29" i="24"/>
  <c r="Z31" i="24"/>
  <c r="J24" i="21"/>
  <c r="Z28" i="21"/>
  <c r="H16" i="21"/>
  <c r="F19" i="21"/>
  <c r="F30" i="21"/>
  <c r="H25" i="21"/>
  <c r="Z29" i="21"/>
  <c r="J29" i="21"/>
  <c r="Z33" i="21"/>
  <c r="H29" i="21"/>
  <c r="J25" i="21"/>
  <c r="J37" i="21"/>
  <c r="F82" i="21"/>
  <c r="H24" i="21"/>
  <c r="H15" i="21"/>
  <c r="J18" i="21"/>
  <c r="J22" i="24"/>
  <c r="J31" i="21"/>
  <c r="Z35" i="21"/>
  <c r="H31" i="21"/>
  <c r="F236" i="21"/>
  <c r="J236" i="21" s="1"/>
  <c r="J242" i="21" s="1"/>
  <c r="F39" i="21"/>
  <c r="H16" i="34"/>
  <c r="F60" i="34"/>
  <c r="J314" i="25"/>
  <c r="F38" i="25" s="1"/>
  <c r="Z32" i="25" s="1"/>
  <c r="H23" i="34"/>
  <c r="H9" i="30"/>
  <c r="J9" i="30" s="1"/>
  <c r="H28" i="30"/>
  <c r="J28" i="30" s="1"/>
  <c r="F89" i="30"/>
  <c r="F114" i="30" s="1"/>
  <c r="J10" i="30"/>
  <c r="J106" i="29"/>
  <c r="J97" i="29"/>
  <c r="F18" i="29" s="1"/>
  <c r="AC25" i="29" s="1"/>
  <c r="F9" i="29"/>
  <c r="J9" i="29" s="1"/>
  <c r="J79" i="29"/>
  <c r="F17" i="29" s="1"/>
  <c r="AC24" i="29" s="1"/>
  <c r="F112" i="29"/>
  <c r="J112" i="29" s="1"/>
  <c r="J118" i="29" s="1"/>
  <c r="D113" i="29"/>
  <c r="H134" i="29"/>
  <c r="F58" i="29" s="1"/>
  <c r="H22" i="28"/>
  <c r="D108" i="28"/>
  <c r="D109" i="28" s="1"/>
  <c r="J94" i="28"/>
  <c r="J79" i="28"/>
  <c r="F17" i="28" s="1"/>
  <c r="J102" i="28"/>
  <c r="F19" i="28" s="1"/>
  <c r="F60" i="28"/>
  <c r="J60" i="28"/>
  <c r="H60" i="28"/>
  <c r="H11" i="28"/>
  <c r="D148" i="25"/>
  <c r="F148" i="25" s="1"/>
  <c r="J148" i="25" s="1"/>
  <c r="J154" i="25" s="1"/>
  <c r="F19" i="25" s="1"/>
  <c r="D320" i="25"/>
  <c r="D321" i="25" s="1"/>
  <c r="J214" i="25"/>
  <c r="F26" i="25" s="1"/>
  <c r="J120" i="25"/>
  <c r="F16" i="25" s="1"/>
  <c r="D229" i="25"/>
  <c r="F228" i="25"/>
  <c r="J228" i="25" s="1"/>
  <c r="J234" i="25" s="1"/>
  <c r="F28" i="25" s="1"/>
  <c r="J298" i="25"/>
  <c r="F36" i="25" s="1"/>
  <c r="Z30" i="25" s="1"/>
  <c r="Z41" i="25"/>
  <c r="F378" i="25"/>
  <c r="J378" i="25" s="1"/>
  <c r="J384" i="25" s="1"/>
  <c r="F46" i="25" s="1"/>
  <c r="D379" i="25"/>
  <c r="H397" i="25"/>
  <c r="F94" i="25" s="1"/>
  <c r="H253" i="25"/>
  <c r="F88" i="25" s="1"/>
  <c r="J123" i="33"/>
  <c r="F20" i="33" s="1"/>
  <c r="J131" i="33"/>
  <c r="F21" i="33" s="1"/>
  <c r="J83" i="33"/>
  <c r="F17" i="33" s="1"/>
  <c r="J102" i="33"/>
  <c r="F18" i="33" s="1"/>
  <c r="D137" i="33"/>
  <c r="D139" i="32"/>
  <c r="D140" i="32" s="1"/>
  <c r="J104" i="32"/>
  <c r="F18" i="32" s="1"/>
  <c r="J125" i="32"/>
  <c r="F20" i="32" s="1"/>
  <c r="J133" i="32"/>
  <c r="F21" i="32" s="1"/>
  <c r="J83" i="32"/>
  <c r="F17" i="32" s="1"/>
  <c r="J117" i="32"/>
  <c r="F62" i="32"/>
  <c r="J62" i="32"/>
  <c r="F62" i="33"/>
  <c r="J62" i="33"/>
  <c r="J115" i="33"/>
  <c r="F19" i="33" s="1"/>
  <c r="J105" i="34"/>
  <c r="F18" i="34" s="1"/>
  <c r="AC27" i="34" s="1"/>
  <c r="D140" i="34"/>
  <c r="J126" i="34"/>
  <c r="J84" i="34"/>
  <c r="F17" i="34" s="1"/>
  <c r="AC26" i="34" s="1"/>
  <c r="J134" i="34"/>
  <c r="J118" i="34"/>
  <c r="F19" i="34" s="1"/>
  <c r="AC28" i="34" s="1"/>
  <c r="L380" i="22"/>
  <c r="J310" i="22"/>
  <c r="F37" i="22" s="1"/>
  <c r="Z31" i="22" s="1"/>
  <c r="S18" i="22"/>
  <c r="H274" i="22"/>
  <c r="H275" i="22"/>
  <c r="F32" i="22"/>
  <c r="L285" i="22"/>
  <c r="H285" i="22"/>
  <c r="L284" i="22"/>
  <c r="H284" i="22"/>
  <c r="L283" i="22"/>
  <c r="H283" i="22"/>
  <c r="L280" i="22"/>
  <c r="H280" i="22"/>
  <c r="L279" i="22"/>
  <c r="H279" i="22"/>
  <c r="L278" i="22"/>
  <c r="H278" i="22"/>
  <c r="L277" i="22"/>
  <c r="H277" i="22"/>
  <c r="L276" i="22"/>
  <c r="H276" i="22"/>
  <c r="L275" i="22"/>
  <c r="L274" i="22"/>
  <c r="L172" i="22"/>
  <c r="H172" i="22"/>
  <c r="L170" i="22"/>
  <c r="H170" i="22"/>
  <c r="J358" i="22"/>
  <c r="J357" i="22"/>
  <c r="J356" i="22"/>
  <c r="J355" i="22"/>
  <c r="J354" i="22"/>
  <c r="J352" i="22"/>
  <c r="J264" i="22"/>
  <c r="J263" i="22"/>
  <c r="J262" i="22"/>
  <c r="J261" i="22"/>
  <c r="J260" i="22"/>
  <c r="J258" i="22"/>
  <c r="J155" i="22"/>
  <c r="J152" i="22"/>
  <c r="J153" i="22"/>
  <c r="J154" i="22"/>
  <c r="J156" i="22"/>
  <c r="J150" i="22"/>
  <c r="J252" i="22"/>
  <c r="J251" i="22"/>
  <c r="J250" i="22"/>
  <c r="J391" i="22"/>
  <c r="J390" i="22"/>
  <c r="J389" i="22"/>
  <c r="J210" i="22"/>
  <c r="J209" i="22"/>
  <c r="J208" i="22"/>
  <c r="J201" i="22"/>
  <c r="J200" i="22"/>
  <c r="J199" i="22"/>
  <c r="J198" i="22"/>
  <c r="J191" i="22"/>
  <c r="J189" i="22"/>
  <c r="J188" i="22"/>
  <c r="J187" i="22"/>
  <c r="J27" i="21" l="1"/>
  <c r="Z32" i="24"/>
  <c r="Z31" i="21"/>
  <c r="J22" i="23"/>
  <c r="F24" i="24"/>
  <c r="J18" i="23"/>
  <c r="H18" i="23"/>
  <c r="J20" i="24"/>
  <c r="J24" i="24" s="1"/>
  <c r="O19" i="22"/>
  <c r="J17" i="28"/>
  <c r="AC24" i="28"/>
  <c r="J19" i="28"/>
  <c r="AC26" i="28"/>
  <c r="AC26" i="32"/>
  <c r="H17" i="32"/>
  <c r="J17" i="32"/>
  <c r="AC30" i="32"/>
  <c r="H21" i="32"/>
  <c r="J21" i="32"/>
  <c r="AC27" i="32"/>
  <c r="J18" i="32"/>
  <c r="H18" i="32"/>
  <c r="H17" i="33"/>
  <c r="J17" i="33"/>
  <c r="AC26" i="33"/>
  <c r="J21" i="33"/>
  <c r="H21" i="33"/>
  <c r="AC30" i="33"/>
  <c r="H18" i="33"/>
  <c r="J18" i="33"/>
  <c r="AC27" i="33"/>
  <c r="F18" i="28"/>
  <c r="J88" i="25"/>
  <c r="H88" i="25"/>
  <c r="J19" i="25"/>
  <c r="H19" i="25"/>
  <c r="J16" i="25"/>
  <c r="H16" i="25"/>
  <c r="J33" i="25"/>
  <c r="Z27" i="25"/>
  <c r="H33" i="25"/>
  <c r="D149" i="25"/>
  <c r="H26" i="25"/>
  <c r="J26" i="25"/>
  <c r="J15" i="25"/>
  <c r="H15" i="25"/>
  <c r="H27" i="25"/>
  <c r="J27" i="25"/>
  <c r="J18" i="25"/>
  <c r="H18" i="25"/>
  <c r="J17" i="25"/>
  <c r="H17" i="25"/>
  <c r="H28" i="25"/>
  <c r="J28" i="25"/>
  <c r="J24" i="25"/>
  <c r="H24" i="25"/>
  <c r="H25" i="25"/>
  <c r="J25" i="25"/>
  <c r="AC27" i="23"/>
  <c r="H88" i="30"/>
  <c r="J88" i="30" s="1"/>
  <c r="AC39" i="33"/>
  <c r="J94" i="25"/>
  <c r="H94" i="25"/>
  <c r="J44" i="25"/>
  <c r="H44" i="25"/>
  <c r="J20" i="33"/>
  <c r="AC29" i="33"/>
  <c r="H45" i="25"/>
  <c r="J45" i="25"/>
  <c r="J19" i="33"/>
  <c r="AC28" i="33"/>
  <c r="J36" i="25"/>
  <c r="H36" i="25"/>
  <c r="J38" i="25"/>
  <c r="H38" i="25"/>
  <c r="H89" i="30"/>
  <c r="J89" i="30" s="1"/>
  <c r="AC39" i="32"/>
  <c r="J20" i="32"/>
  <c r="AC29" i="32"/>
  <c r="J46" i="25"/>
  <c r="H46" i="25"/>
  <c r="J37" i="25"/>
  <c r="H37" i="25"/>
  <c r="F19" i="29"/>
  <c r="AC26" i="29" s="1"/>
  <c r="J58" i="29"/>
  <c r="J60" i="29" s="1"/>
  <c r="H58" i="29"/>
  <c r="H60" i="29" s="1"/>
  <c r="H17" i="29"/>
  <c r="J17" i="29"/>
  <c r="J18" i="29"/>
  <c r="H18" i="29"/>
  <c r="F320" i="25"/>
  <c r="J320" i="25" s="1"/>
  <c r="J326" i="25" s="1"/>
  <c r="F39" i="25" s="1"/>
  <c r="J39" i="21"/>
  <c r="J160" i="23"/>
  <c r="J19" i="21"/>
  <c r="J21" i="21" s="1"/>
  <c r="H19" i="21"/>
  <c r="H21" i="21" s="1"/>
  <c r="F21" i="21"/>
  <c r="H82" i="21"/>
  <c r="H83" i="21" s="1"/>
  <c r="J82" i="21"/>
  <c r="J83" i="21" s="1"/>
  <c r="F83" i="21"/>
  <c r="H98" i="30" s="1"/>
  <c r="Z34" i="21"/>
  <c r="H30" i="21"/>
  <c r="J30" i="21"/>
  <c r="H24" i="24"/>
  <c r="Z34" i="24"/>
  <c r="J32" i="22"/>
  <c r="H32" i="22"/>
  <c r="J37" i="22"/>
  <c r="H37" i="22"/>
  <c r="H39" i="21"/>
  <c r="F32" i="21"/>
  <c r="F21" i="34"/>
  <c r="AC30" i="34" s="1"/>
  <c r="H18" i="34"/>
  <c r="J18" i="34"/>
  <c r="J17" i="34"/>
  <c r="H17" i="34"/>
  <c r="H60" i="34"/>
  <c r="H62" i="34" s="1"/>
  <c r="J60" i="34"/>
  <c r="J62" i="34" s="1"/>
  <c r="F62" i="34"/>
  <c r="F19" i="32"/>
  <c r="F24" i="32" s="1"/>
  <c r="F43" i="22"/>
  <c r="Z37" i="22" s="1"/>
  <c r="F139" i="30"/>
  <c r="H20" i="32"/>
  <c r="H20" i="33"/>
  <c r="F137" i="30"/>
  <c r="J19" i="34"/>
  <c r="H19" i="34"/>
  <c r="F24" i="33"/>
  <c r="H19" i="33"/>
  <c r="H8" i="30"/>
  <c r="J8" i="30" s="1"/>
  <c r="J9" i="34"/>
  <c r="H20" i="34"/>
  <c r="J20" i="34"/>
  <c r="H24" i="30"/>
  <c r="J24" i="30" s="1"/>
  <c r="F60" i="29"/>
  <c r="AC35" i="29" s="1"/>
  <c r="F108" i="28"/>
  <c r="J108" i="28" s="1"/>
  <c r="J114" i="28" s="1"/>
  <c r="F21" i="25"/>
  <c r="F48" i="25"/>
  <c r="F95" i="25"/>
  <c r="F30" i="25"/>
  <c r="D138" i="33"/>
  <c r="F137" i="33"/>
  <c r="J137" i="33" s="1"/>
  <c r="J143" i="33" s="1"/>
  <c r="F139" i="32"/>
  <c r="J139" i="32" s="1"/>
  <c r="J145" i="32" s="1"/>
  <c r="D141" i="34"/>
  <c r="F140" i="34"/>
  <c r="J140" i="34" s="1"/>
  <c r="J146" i="34" s="1"/>
  <c r="F91" i="22"/>
  <c r="D259" i="22"/>
  <c r="F259" i="22" s="1"/>
  <c r="J259" i="22" s="1"/>
  <c r="J265" i="22" s="1"/>
  <c r="F31" i="22" s="1"/>
  <c r="J216" i="22"/>
  <c r="F26" i="22" s="1"/>
  <c r="J253" i="22"/>
  <c r="F30" i="22" s="1"/>
  <c r="J397" i="22"/>
  <c r="F47" i="22" s="1"/>
  <c r="J193" i="22"/>
  <c r="F24" i="22" s="1"/>
  <c r="J202" i="22"/>
  <c r="F25" i="22" s="1"/>
  <c r="E79" i="4"/>
  <c r="C79" i="4"/>
  <c r="F79" i="4"/>
  <c r="F58" i="4"/>
  <c r="F59" i="4"/>
  <c r="F60" i="4"/>
  <c r="F61" i="4"/>
  <c r="F62" i="4"/>
  <c r="F63" i="4"/>
  <c r="F64" i="4"/>
  <c r="F66" i="4"/>
  <c r="F67" i="4"/>
  <c r="F69" i="4"/>
  <c r="F70" i="4"/>
  <c r="F73" i="4"/>
  <c r="F74" i="4"/>
  <c r="F75" i="4"/>
  <c r="F57" i="4"/>
  <c r="E58" i="4"/>
  <c r="E59" i="4"/>
  <c r="E60" i="4"/>
  <c r="E61" i="4"/>
  <c r="E62" i="4"/>
  <c r="E63" i="4"/>
  <c r="E64" i="4"/>
  <c r="E66" i="4"/>
  <c r="E67" i="4"/>
  <c r="E69" i="4"/>
  <c r="E70" i="4"/>
  <c r="E73" i="4"/>
  <c r="E74" i="4"/>
  <c r="E75" i="4"/>
  <c r="E57" i="4"/>
  <c r="C58" i="4"/>
  <c r="C59" i="4"/>
  <c r="C60" i="4"/>
  <c r="C61" i="4"/>
  <c r="C62" i="4"/>
  <c r="C63" i="4"/>
  <c r="C64" i="4"/>
  <c r="C66" i="4"/>
  <c r="C67" i="4"/>
  <c r="C69" i="4"/>
  <c r="C70" i="4"/>
  <c r="C73" i="4"/>
  <c r="C74" i="4"/>
  <c r="C75" i="4"/>
  <c r="C57" i="4"/>
  <c r="L123" i="27"/>
  <c r="L106" i="27"/>
  <c r="L107" i="27"/>
  <c r="L108" i="27"/>
  <c r="L109" i="27"/>
  <c r="L110" i="27"/>
  <c r="L111" i="27"/>
  <c r="L112" i="27"/>
  <c r="L113" i="27"/>
  <c r="L114" i="27"/>
  <c r="L115" i="27"/>
  <c r="L117" i="27"/>
  <c r="L118" i="27"/>
  <c r="L121" i="27"/>
  <c r="L122" i="27"/>
  <c r="L105" i="27"/>
  <c r="B58" i="4"/>
  <c r="B59" i="4"/>
  <c r="B60" i="4"/>
  <c r="B61" i="4"/>
  <c r="B62" i="4"/>
  <c r="B63" i="4"/>
  <c r="B64" i="4"/>
  <c r="B66" i="4"/>
  <c r="B67" i="4"/>
  <c r="B69" i="4"/>
  <c r="B70" i="4"/>
  <c r="B73" i="4"/>
  <c r="B74" i="4"/>
  <c r="B75" i="4"/>
  <c r="B57" i="4"/>
  <c r="E29" i="4"/>
  <c r="E30" i="4"/>
  <c r="E31" i="4"/>
  <c r="E32" i="4"/>
  <c r="E33" i="4"/>
  <c r="E34" i="4"/>
  <c r="E35" i="4"/>
  <c r="E40" i="4"/>
  <c r="E41" i="4"/>
  <c r="E42" i="4"/>
  <c r="E43" i="4"/>
  <c r="E44" i="4"/>
  <c r="E45" i="4"/>
  <c r="E46" i="4"/>
  <c r="E49" i="4"/>
  <c r="E50" i="4"/>
  <c r="B29" i="4"/>
  <c r="B30" i="4"/>
  <c r="B31" i="4"/>
  <c r="B32" i="4"/>
  <c r="B33" i="4"/>
  <c r="B34" i="4"/>
  <c r="B35" i="4"/>
  <c r="B40" i="4"/>
  <c r="B41" i="4"/>
  <c r="B42" i="4"/>
  <c r="B43" i="4"/>
  <c r="B44" i="4"/>
  <c r="B45" i="4"/>
  <c r="B46" i="4"/>
  <c r="B49" i="4"/>
  <c r="B50" i="4"/>
  <c r="B28" i="4"/>
  <c r="E28" i="4"/>
  <c r="I29" i="4"/>
  <c r="I30" i="4"/>
  <c r="I31" i="4"/>
  <c r="I32" i="4"/>
  <c r="I33" i="4"/>
  <c r="I34" i="4"/>
  <c r="I35" i="4"/>
  <c r="I40" i="4"/>
  <c r="I41" i="4"/>
  <c r="I42" i="4"/>
  <c r="I43" i="4"/>
  <c r="I44" i="4"/>
  <c r="I45" i="4"/>
  <c r="I46" i="4"/>
  <c r="I49" i="4"/>
  <c r="I50" i="4"/>
  <c r="I28" i="4"/>
  <c r="J29" i="4"/>
  <c r="J30" i="4"/>
  <c r="J31" i="4"/>
  <c r="J32" i="4"/>
  <c r="J33" i="4"/>
  <c r="J34" i="4"/>
  <c r="J35" i="4"/>
  <c r="J40" i="4"/>
  <c r="J41" i="4"/>
  <c r="J42" i="4"/>
  <c r="J43" i="4"/>
  <c r="J44" i="4"/>
  <c r="J45" i="4"/>
  <c r="J46" i="4"/>
  <c r="J49" i="4"/>
  <c r="J50" i="4"/>
  <c r="E15" i="4"/>
  <c r="E16" i="4"/>
  <c r="E17" i="4"/>
  <c r="E18" i="4"/>
  <c r="E19" i="4"/>
  <c r="E21" i="4"/>
  <c r="E14" i="4"/>
  <c r="B15" i="4"/>
  <c r="B16" i="4"/>
  <c r="B17" i="4"/>
  <c r="B18" i="4"/>
  <c r="B19" i="4"/>
  <c r="B21" i="4"/>
  <c r="B14" i="4"/>
  <c r="I21" i="4"/>
  <c r="I19" i="4"/>
  <c r="I18" i="4"/>
  <c r="I17" i="4"/>
  <c r="I16" i="4"/>
  <c r="I15" i="4"/>
  <c r="I14" i="4"/>
  <c r="J220" i="20"/>
  <c r="J219" i="20"/>
  <c r="J218" i="20"/>
  <c r="J217" i="20"/>
  <c r="AB26" i="20"/>
  <c r="AB28" i="20"/>
  <c r="AB29" i="20"/>
  <c r="AB30" i="20"/>
  <c r="AB31" i="20"/>
  <c r="AB32" i="20"/>
  <c r="AB25" i="20"/>
  <c r="L13" i="31" a="1"/>
  <c r="L13" i="31" s="1"/>
  <c r="L15" i="31" a="1"/>
  <c r="L15" i="31" s="1"/>
  <c r="L16" i="31" a="1"/>
  <c r="L16" i="31" s="1"/>
  <c r="L18" i="31" a="1"/>
  <c r="L18" i="31" s="1"/>
  <c r="L19" i="31" a="1"/>
  <c r="L19" i="31" s="1"/>
  <c r="L20" i="31" a="1"/>
  <c r="L20" i="31" s="1"/>
  <c r="L21" i="31" a="1"/>
  <c r="L21" i="31" s="1"/>
  <c r="L12" i="31" a="1"/>
  <c r="L12" i="31" s="1"/>
  <c r="L7" i="31" a="1"/>
  <c r="L7" i="31" s="1"/>
  <c r="L8" i="31" a="1"/>
  <c r="L8" i="31" s="1"/>
  <c r="L6" i="31" a="1"/>
  <c r="L6" i="31" s="1"/>
  <c r="S18" i="20"/>
  <c r="O19" i="20" s="1"/>
  <c r="D37" i="27"/>
  <c r="J144" i="22"/>
  <c r="J143" i="22"/>
  <c r="J142" i="22"/>
  <c r="J141" i="20"/>
  <c r="J140" i="20"/>
  <c r="J139" i="20"/>
  <c r="J136" i="20"/>
  <c r="J131" i="20"/>
  <c r="J130" i="20"/>
  <c r="J129" i="20"/>
  <c r="F47" i="30"/>
  <c r="F48" i="30"/>
  <c r="F73" i="30" s="1"/>
  <c r="F98" i="30" s="1"/>
  <c r="F49" i="30"/>
  <c r="F50" i="30"/>
  <c r="F51" i="30"/>
  <c r="F52" i="30"/>
  <c r="F77" i="30" s="1"/>
  <c r="F102" i="30" s="1"/>
  <c r="F127" i="30" s="1"/>
  <c r="F78" i="30"/>
  <c r="F57" i="30"/>
  <c r="F58" i="30"/>
  <c r="F83" i="30" s="1"/>
  <c r="F46" i="30"/>
  <c r="F71" i="30" s="1"/>
  <c r="F96" i="30" s="1"/>
  <c r="F121" i="30" s="1"/>
  <c r="F22" i="31"/>
  <c r="H22" i="30"/>
  <c r="H23" i="30"/>
  <c r="J29" i="30"/>
  <c r="J430" i="22"/>
  <c r="F430" i="22"/>
  <c r="L429" i="22"/>
  <c r="H429" i="22"/>
  <c r="L428" i="22"/>
  <c r="H428" i="22"/>
  <c r="L427" i="22"/>
  <c r="H427" i="22"/>
  <c r="L426" i="22"/>
  <c r="H426" i="22"/>
  <c r="J404" i="22"/>
  <c r="J403" i="22"/>
  <c r="J402" i="22"/>
  <c r="L379" i="22"/>
  <c r="H379" i="22"/>
  <c r="L378" i="22"/>
  <c r="H378" i="22"/>
  <c r="L377" i="22"/>
  <c r="H377" i="22"/>
  <c r="L376" i="22"/>
  <c r="H376" i="22"/>
  <c r="L375" i="22"/>
  <c r="H375" i="22"/>
  <c r="L374" i="22"/>
  <c r="H374" i="22"/>
  <c r="L373" i="22"/>
  <c r="H373" i="22"/>
  <c r="L370" i="22"/>
  <c r="H370" i="22"/>
  <c r="L369" i="22"/>
  <c r="H369" i="22"/>
  <c r="L368" i="22"/>
  <c r="H368" i="22"/>
  <c r="J346" i="22"/>
  <c r="J345" i="22"/>
  <c r="J344" i="22"/>
  <c r="J338" i="22"/>
  <c r="J337" i="22"/>
  <c r="J336" i="22"/>
  <c r="J330" i="22"/>
  <c r="J328" i="22"/>
  <c r="J327" i="22"/>
  <c r="J326" i="22"/>
  <c r="J325" i="22"/>
  <c r="J324" i="22"/>
  <c r="J295" i="22"/>
  <c r="J294" i="22"/>
  <c r="J293" i="22"/>
  <c r="J292" i="22"/>
  <c r="J181" i="22"/>
  <c r="L181" i="22" s="1"/>
  <c r="F20" i="22" s="1"/>
  <c r="F181" i="22"/>
  <c r="L180" i="22"/>
  <c r="H180" i="22"/>
  <c r="L179" i="22"/>
  <c r="H179" i="22"/>
  <c r="L178" i="22"/>
  <c r="H178" i="22"/>
  <c r="L169" i="22"/>
  <c r="H169" i="22"/>
  <c r="L177" i="22"/>
  <c r="H177" i="22"/>
  <c r="L176" i="22"/>
  <c r="H176" i="22"/>
  <c r="L175" i="22"/>
  <c r="H175" i="22"/>
  <c r="L174" i="22"/>
  <c r="H174" i="22"/>
  <c r="L173" i="22"/>
  <c r="H173" i="22"/>
  <c r="L171" i="22"/>
  <c r="H171" i="22"/>
  <c r="L168" i="22"/>
  <c r="H168" i="22"/>
  <c r="L167" i="22"/>
  <c r="H167" i="22"/>
  <c r="J131" i="22"/>
  <c r="J130" i="22"/>
  <c r="J129" i="22"/>
  <c r="J122" i="22"/>
  <c r="J121" i="22"/>
  <c r="J120" i="22"/>
  <c r="J119" i="22"/>
  <c r="J112" i="22"/>
  <c r="J110" i="22"/>
  <c r="J109" i="22"/>
  <c r="J108" i="22"/>
  <c r="C22" i="31"/>
  <c r="G147" i="27"/>
  <c r="J317" i="20"/>
  <c r="J316" i="20"/>
  <c r="J315" i="20"/>
  <c r="J312" i="20"/>
  <c r="J307" i="20"/>
  <c r="J306" i="20"/>
  <c r="J305" i="20"/>
  <c r="J334" i="20"/>
  <c r="L334" i="20" s="1"/>
  <c r="F39" i="20" s="1"/>
  <c r="F334" i="20"/>
  <c r="H334" i="20" s="1"/>
  <c r="F83" i="20" s="1"/>
  <c r="F32" i="20"/>
  <c r="AC32" i="20" s="1"/>
  <c r="L277" i="20"/>
  <c r="L276" i="20"/>
  <c r="L275" i="20"/>
  <c r="L274" i="20"/>
  <c r="L272" i="20"/>
  <c r="L271" i="20"/>
  <c r="L270" i="20"/>
  <c r="L269" i="20"/>
  <c r="L266" i="20"/>
  <c r="L265" i="20"/>
  <c r="L264" i="20"/>
  <c r="L263" i="20"/>
  <c r="L262" i="20"/>
  <c r="J32" i="21" l="1"/>
  <c r="F10" i="45"/>
  <c r="H10" i="45" s="1"/>
  <c r="H11" i="45" s="1"/>
  <c r="J26" i="42"/>
  <c r="J26" i="43"/>
  <c r="J26" i="41"/>
  <c r="F27" i="43"/>
  <c r="J27" i="43" s="1"/>
  <c r="F27" i="44"/>
  <c r="J27" i="44" s="1"/>
  <c r="F27" i="42"/>
  <c r="J27" i="42" s="1"/>
  <c r="F27" i="41"/>
  <c r="J27" i="41" s="1"/>
  <c r="J26" i="44"/>
  <c r="F23" i="23"/>
  <c r="H23" i="23" s="1"/>
  <c r="H25" i="23" s="1"/>
  <c r="F10" i="34"/>
  <c r="F10" i="38"/>
  <c r="F10" i="32"/>
  <c r="F10" i="33"/>
  <c r="J10" i="33" s="1"/>
  <c r="F10" i="22"/>
  <c r="J10" i="22" s="1"/>
  <c r="F27" i="24"/>
  <c r="H27" i="24" s="1"/>
  <c r="DE14" i="4"/>
  <c r="DA14" i="4"/>
  <c r="DB14" i="4"/>
  <c r="DC14" i="4"/>
  <c r="CF14" i="4"/>
  <c r="CH14" i="4"/>
  <c r="CE14" i="4"/>
  <c r="CI14" i="4"/>
  <c r="CG14" i="4"/>
  <c r="DD14" i="4"/>
  <c r="DA18" i="4"/>
  <c r="DB18" i="4"/>
  <c r="DC18" i="4"/>
  <c r="DE18" i="4"/>
  <c r="CG18" i="4"/>
  <c r="CE18" i="4"/>
  <c r="CF18" i="4"/>
  <c r="CI18" i="4"/>
  <c r="DD18" i="4"/>
  <c r="CH18" i="4"/>
  <c r="BI19" i="4"/>
  <c r="BM19" i="4"/>
  <c r="BJ19" i="4"/>
  <c r="BK19" i="4"/>
  <c r="BL19" i="4"/>
  <c r="BH19" i="4"/>
  <c r="BQ19" i="4"/>
  <c r="BU19" i="4"/>
  <c r="BY19" i="4"/>
  <c r="AJ19" i="4"/>
  <c r="AN19" i="4"/>
  <c r="AR19" i="4"/>
  <c r="AV19" i="4"/>
  <c r="AZ19" i="4"/>
  <c r="BD19" i="4"/>
  <c r="BN19" i="4"/>
  <c r="BR19" i="4"/>
  <c r="BV19" i="4"/>
  <c r="BZ19" i="4"/>
  <c r="AK19" i="4"/>
  <c r="AO19" i="4"/>
  <c r="AS19" i="4"/>
  <c r="AW19" i="4"/>
  <c r="BA19" i="4"/>
  <c r="BO19" i="4"/>
  <c r="BS19" i="4"/>
  <c r="BW19" i="4"/>
  <c r="AL19" i="4"/>
  <c r="AP19" i="4"/>
  <c r="AT19" i="4"/>
  <c r="AX19" i="4"/>
  <c r="BB19" i="4"/>
  <c r="BG19" i="4"/>
  <c r="BP19" i="4"/>
  <c r="BT19" i="4"/>
  <c r="BX19" i="4"/>
  <c r="AM19" i="4"/>
  <c r="AQ19" i="4"/>
  <c r="AU19" i="4"/>
  <c r="AY19" i="4"/>
  <c r="BC19" i="4"/>
  <c r="BI15" i="4"/>
  <c r="BM15" i="4"/>
  <c r="BJ15" i="4"/>
  <c r="BK15" i="4"/>
  <c r="BL15" i="4"/>
  <c r="AN15" i="4"/>
  <c r="AO15" i="4"/>
  <c r="AP15" i="4"/>
  <c r="AM15" i="4"/>
  <c r="AQ15" i="4"/>
  <c r="DA46" i="4"/>
  <c r="DE46" i="4"/>
  <c r="DB46" i="4"/>
  <c r="DC46" i="4"/>
  <c r="DD46" i="4"/>
  <c r="CG46" i="4"/>
  <c r="CE46" i="4"/>
  <c r="CI46" i="4"/>
  <c r="CF46" i="4"/>
  <c r="CH46" i="4"/>
  <c r="DA42" i="4"/>
  <c r="DE42" i="4"/>
  <c r="DB42" i="4"/>
  <c r="DC42" i="4"/>
  <c r="DD42" i="4"/>
  <c r="CG42" i="4"/>
  <c r="CE42" i="4"/>
  <c r="CI42" i="4"/>
  <c r="CF42" i="4"/>
  <c r="CH42" i="4"/>
  <c r="DD34" i="4"/>
  <c r="DA34" i="4"/>
  <c r="DE34" i="4"/>
  <c r="DB34" i="4"/>
  <c r="DC34" i="4"/>
  <c r="CF34" i="4"/>
  <c r="CH34" i="4"/>
  <c r="CE34" i="4"/>
  <c r="CI34" i="4"/>
  <c r="CG34" i="4"/>
  <c r="DC30" i="4"/>
  <c r="DD30" i="4"/>
  <c r="CH30" i="4"/>
  <c r="CG30" i="4"/>
  <c r="CF30" i="4"/>
  <c r="CE30" i="4"/>
  <c r="DB30" i="4"/>
  <c r="DE30" i="4"/>
  <c r="DA30" i="4"/>
  <c r="CI30" i="4"/>
  <c r="BX50" i="4"/>
  <c r="BK50" i="4"/>
  <c r="BL50" i="4"/>
  <c r="BI50" i="4"/>
  <c r="BM50" i="4"/>
  <c r="BJ50" i="4"/>
  <c r="AM50" i="4"/>
  <c r="AQ50" i="4"/>
  <c r="AN50" i="4"/>
  <c r="AO50" i="4"/>
  <c r="AP50" i="4"/>
  <c r="BI44" i="4"/>
  <c r="BM44" i="4"/>
  <c r="BL44" i="4"/>
  <c r="AO44" i="4"/>
  <c r="AP44" i="4"/>
  <c r="BJ44" i="4"/>
  <c r="AM44" i="4"/>
  <c r="BK44" i="4"/>
  <c r="AN44" i="4"/>
  <c r="AQ44" i="4"/>
  <c r="BI40" i="4"/>
  <c r="BM40" i="4"/>
  <c r="BL40" i="4"/>
  <c r="BJ40" i="4"/>
  <c r="AO40" i="4"/>
  <c r="BK40" i="4"/>
  <c r="AP40" i="4"/>
  <c r="AM40" i="4"/>
  <c r="AQ40" i="4"/>
  <c r="AN40" i="4"/>
  <c r="BI32" i="4"/>
  <c r="BM32" i="4"/>
  <c r="BL32" i="4"/>
  <c r="BJ32" i="4"/>
  <c r="AO32" i="4"/>
  <c r="BK32" i="4"/>
  <c r="AP32" i="4"/>
  <c r="AM32" i="4"/>
  <c r="AQ32" i="4"/>
  <c r="AN32" i="4"/>
  <c r="BX70" i="4"/>
  <c r="BK70" i="4"/>
  <c r="BI70" i="4"/>
  <c r="BM70" i="4"/>
  <c r="BJ70" i="4"/>
  <c r="AP70" i="4"/>
  <c r="BL70" i="4"/>
  <c r="AM70" i="4"/>
  <c r="AQ70" i="4"/>
  <c r="AN70" i="4"/>
  <c r="AO70" i="4"/>
  <c r="DE15" i="4"/>
  <c r="DA15" i="4"/>
  <c r="DB15" i="4"/>
  <c r="DD15" i="4"/>
  <c r="CE15" i="4"/>
  <c r="CI15" i="4"/>
  <c r="CG15" i="4"/>
  <c r="CH15" i="4"/>
  <c r="CF15" i="4"/>
  <c r="DC15" i="4"/>
  <c r="DA19" i="4"/>
  <c r="DB19" i="4"/>
  <c r="DD19" i="4"/>
  <c r="DE19" i="4"/>
  <c r="CH19" i="4"/>
  <c r="CE19" i="4"/>
  <c r="CF19" i="4"/>
  <c r="CI19" i="4"/>
  <c r="DG19" i="4"/>
  <c r="DK19" i="4"/>
  <c r="DO19" i="4"/>
  <c r="CC19" i="4"/>
  <c r="CL19" i="4"/>
  <c r="CP19" i="4"/>
  <c r="CT19" i="4"/>
  <c r="CY19" i="4"/>
  <c r="DH19" i="4"/>
  <c r="DL19" i="4"/>
  <c r="DP19" i="4"/>
  <c r="CD19" i="4"/>
  <c r="CM19" i="4"/>
  <c r="CQ19" i="4"/>
  <c r="CU19" i="4"/>
  <c r="CZ19" i="4"/>
  <c r="DI19" i="4"/>
  <c r="DM19" i="4"/>
  <c r="DQ19" i="4"/>
  <c r="CJ19" i="4"/>
  <c r="CN19" i="4"/>
  <c r="CR19" i="4"/>
  <c r="CV19" i="4"/>
  <c r="DF19" i="4"/>
  <c r="DJ19" i="4"/>
  <c r="DN19" i="4"/>
  <c r="DR19" i="4"/>
  <c r="CK19" i="4"/>
  <c r="CO19" i="4"/>
  <c r="CS19" i="4"/>
  <c r="DC19" i="4"/>
  <c r="CG19" i="4"/>
  <c r="BJ18" i="4"/>
  <c r="BK18" i="4"/>
  <c r="BL18" i="4"/>
  <c r="BI18" i="4"/>
  <c r="BM18" i="4"/>
  <c r="AO18" i="4"/>
  <c r="AP18" i="4"/>
  <c r="AM18" i="4"/>
  <c r="AQ18" i="4"/>
  <c r="AN18" i="4"/>
  <c r="DA28" i="4"/>
  <c r="DB28" i="4"/>
  <c r="DE28" i="4"/>
  <c r="CF28" i="4"/>
  <c r="CI28" i="4"/>
  <c r="CE28" i="4"/>
  <c r="DD28" i="4"/>
  <c r="DC28" i="4"/>
  <c r="CH28" i="4"/>
  <c r="CG28" i="4"/>
  <c r="DB45" i="4"/>
  <c r="DC45" i="4"/>
  <c r="DD45" i="4"/>
  <c r="DA45" i="4"/>
  <c r="DE45" i="4"/>
  <c r="CH45" i="4"/>
  <c r="CF45" i="4"/>
  <c r="CG45" i="4"/>
  <c r="CE45" i="4"/>
  <c r="CI45" i="4"/>
  <c r="DB41" i="4"/>
  <c r="DC41" i="4"/>
  <c r="DD41" i="4"/>
  <c r="DA41" i="4"/>
  <c r="DE41" i="4"/>
  <c r="CH41" i="4"/>
  <c r="CF41" i="4"/>
  <c r="CG41" i="4"/>
  <c r="CI41" i="4"/>
  <c r="CE41" i="4"/>
  <c r="DA33" i="4"/>
  <c r="DE33" i="4"/>
  <c r="DB33" i="4"/>
  <c r="DC33" i="4"/>
  <c r="DD33" i="4"/>
  <c r="CG33" i="4"/>
  <c r="CE33" i="4"/>
  <c r="CI33" i="4"/>
  <c r="CF33" i="4"/>
  <c r="CH33" i="4"/>
  <c r="DA29" i="4"/>
  <c r="DD29" i="4"/>
  <c r="CE29" i="4"/>
  <c r="CI29" i="4"/>
  <c r="CH29" i="4"/>
  <c r="DC29" i="4"/>
  <c r="DB29" i="4"/>
  <c r="DE29" i="4"/>
  <c r="CG29" i="4"/>
  <c r="CF29" i="4"/>
  <c r="BX49" i="4"/>
  <c r="BL49" i="4"/>
  <c r="BI49" i="4"/>
  <c r="BM49" i="4"/>
  <c r="BJ49" i="4"/>
  <c r="BK49" i="4"/>
  <c r="AN49" i="4"/>
  <c r="AO49" i="4"/>
  <c r="AP49" i="4"/>
  <c r="AM49" i="4"/>
  <c r="AQ49" i="4"/>
  <c r="BX43" i="4"/>
  <c r="BJ43" i="4"/>
  <c r="BI43" i="4"/>
  <c r="BM43" i="4"/>
  <c r="BK43" i="4"/>
  <c r="AP43" i="4"/>
  <c r="BL43" i="4"/>
  <c r="AM43" i="4"/>
  <c r="AQ43" i="4"/>
  <c r="AN43" i="4"/>
  <c r="AO43" i="4"/>
  <c r="BJ35" i="4"/>
  <c r="BI35" i="4"/>
  <c r="BM35" i="4"/>
  <c r="BK35" i="4"/>
  <c r="AP35" i="4"/>
  <c r="BL35" i="4"/>
  <c r="AM35" i="4"/>
  <c r="AQ35" i="4"/>
  <c r="AN35" i="4"/>
  <c r="AO35" i="4"/>
  <c r="BL31" i="4"/>
  <c r="AO31" i="4"/>
  <c r="AP31" i="4"/>
  <c r="BJ31" i="4"/>
  <c r="BK31" i="4"/>
  <c r="AN31" i="4"/>
  <c r="BM31" i="4"/>
  <c r="BI31" i="4"/>
  <c r="AQ31" i="4"/>
  <c r="AM31" i="4"/>
  <c r="BX64" i="4"/>
  <c r="BI64" i="4"/>
  <c r="BM64" i="4"/>
  <c r="BK64" i="4"/>
  <c r="BL64" i="4"/>
  <c r="AN64" i="4"/>
  <c r="BJ64" i="4"/>
  <c r="AO64" i="4"/>
  <c r="AP64" i="4"/>
  <c r="AM64" i="4"/>
  <c r="AQ64" i="4"/>
  <c r="DE16" i="4"/>
  <c r="DA16" i="4"/>
  <c r="DC16" i="4"/>
  <c r="DD16" i="4"/>
  <c r="CH16" i="4"/>
  <c r="CF16" i="4"/>
  <c r="CG16" i="4"/>
  <c r="CE16" i="4"/>
  <c r="CI16" i="4"/>
  <c r="DB16" i="4"/>
  <c r="DB21" i="4"/>
  <c r="DC21" i="4"/>
  <c r="DD21" i="4"/>
  <c r="CH21" i="4"/>
  <c r="CF21" i="4"/>
  <c r="CG21" i="4"/>
  <c r="DE21" i="4"/>
  <c r="CI21" i="4"/>
  <c r="DA21" i="4"/>
  <c r="CE21" i="4"/>
  <c r="BJ14" i="4"/>
  <c r="BK14" i="4"/>
  <c r="BL14" i="4"/>
  <c r="BI14" i="4"/>
  <c r="BM14" i="4"/>
  <c r="AO14" i="4"/>
  <c r="AP14" i="4"/>
  <c r="AM14" i="4"/>
  <c r="AQ14" i="4"/>
  <c r="AN14" i="4"/>
  <c r="BK17" i="4"/>
  <c r="BL17" i="4"/>
  <c r="BI17" i="4"/>
  <c r="BM17" i="4"/>
  <c r="BJ17" i="4"/>
  <c r="AP17" i="4"/>
  <c r="AM17" i="4"/>
  <c r="AQ17" i="4"/>
  <c r="AN17" i="4"/>
  <c r="AO17" i="4"/>
  <c r="DA50" i="4"/>
  <c r="DE50" i="4"/>
  <c r="DB50" i="4"/>
  <c r="DC50" i="4"/>
  <c r="DD50" i="4"/>
  <c r="CG50" i="4"/>
  <c r="CE50" i="4"/>
  <c r="CI50" i="4"/>
  <c r="CF50" i="4"/>
  <c r="CH50" i="4"/>
  <c r="DC44" i="4"/>
  <c r="DD44" i="4"/>
  <c r="DA44" i="4"/>
  <c r="DE44" i="4"/>
  <c r="DB44" i="4"/>
  <c r="CE44" i="4"/>
  <c r="CI44" i="4"/>
  <c r="CG44" i="4"/>
  <c r="CH44" i="4"/>
  <c r="CF44" i="4"/>
  <c r="DC40" i="4"/>
  <c r="DD40" i="4"/>
  <c r="DA40" i="4"/>
  <c r="DE40" i="4"/>
  <c r="DB40" i="4"/>
  <c r="CE40" i="4"/>
  <c r="CI40" i="4"/>
  <c r="CG40" i="4"/>
  <c r="CH40" i="4"/>
  <c r="CF40" i="4"/>
  <c r="DA32" i="4"/>
  <c r="DB32" i="4"/>
  <c r="DE32" i="4"/>
  <c r="CF32" i="4"/>
  <c r="CE32" i="4"/>
  <c r="CI32" i="4"/>
  <c r="DD32" i="4"/>
  <c r="DC32" i="4"/>
  <c r="CH32" i="4"/>
  <c r="CG32" i="4"/>
  <c r="BX28" i="4"/>
  <c r="BJ28" i="4"/>
  <c r="BI28" i="4"/>
  <c r="BM28" i="4"/>
  <c r="BK28" i="4"/>
  <c r="AP28" i="4"/>
  <c r="BL28" i="4"/>
  <c r="AM28" i="4"/>
  <c r="AQ28" i="4"/>
  <c r="AN28" i="4"/>
  <c r="AO28" i="4"/>
  <c r="BX46" i="4"/>
  <c r="BK46" i="4"/>
  <c r="BJ46" i="4"/>
  <c r="BL46" i="4"/>
  <c r="BM46" i="4"/>
  <c r="BI46" i="4"/>
  <c r="AM46" i="4"/>
  <c r="AQ46" i="4"/>
  <c r="AN46" i="4"/>
  <c r="AO46" i="4"/>
  <c r="AP46" i="4"/>
  <c r="BX42" i="4"/>
  <c r="BK42" i="4"/>
  <c r="BJ42" i="4"/>
  <c r="AM42" i="4"/>
  <c r="AQ42" i="4"/>
  <c r="BI42" i="4"/>
  <c r="AN42" i="4"/>
  <c r="BL42" i="4"/>
  <c r="AO42" i="4"/>
  <c r="BM42" i="4"/>
  <c r="AP42" i="4"/>
  <c r="BX34" i="4"/>
  <c r="BK34" i="4"/>
  <c r="BJ34" i="4"/>
  <c r="AM34" i="4"/>
  <c r="AQ34" i="4"/>
  <c r="BI34" i="4"/>
  <c r="AN34" i="4"/>
  <c r="BL34" i="4"/>
  <c r="AO34" i="4"/>
  <c r="BM34" i="4"/>
  <c r="AP34" i="4"/>
  <c r="BM30" i="4"/>
  <c r="BL30" i="4"/>
  <c r="BI30" i="4"/>
  <c r="AO30" i="4"/>
  <c r="BK30" i="4"/>
  <c r="AP30" i="4"/>
  <c r="AQ30" i="4"/>
  <c r="AM30" i="4"/>
  <c r="AN30" i="4"/>
  <c r="BJ30" i="4"/>
  <c r="BX67" i="4"/>
  <c r="BJ67" i="4"/>
  <c r="BL67" i="4"/>
  <c r="BI67" i="4"/>
  <c r="BM67" i="4"/>
  <c r="AO67" i="4"/>
  <c r="BK67" i="4"/>
  <c r="AP67" i="4"/>
  <c r="AM67" i="4"/>
  <c r="AQ67" i="4"/>
  <c r="AN67" i="4"/>
  <c r="BK79" i="4"/>
  <c r="J54" i="43" s="1"/>
  <c r="BJ79" i="4"/>
  <c r="J54" i="44" s="1"/>
  <c r="AN79" i="4"/>
  <c r="J53" i="44" s="1"/>
  <c r="BI79" i="4"/>
  <c r="J54" i="45" s="1"/>
  <c r="AO79" i="4"/>
  <c r="J53" i="43" s="1"/>
  <c r="BL79" i="4"/>
  <c r="J54" i="42" s="1"/>
  <c r="AP79" i="4"/>
  <c r="J53" i="42" s="1"/>
  <c r="BM79" i="4"/>
  <c r="J54" i="41" s="1"/>
  <c r="AM79" i="4"/>
  <c r="J53" i="45" s="1"/>
  <c r="AQ79" i="4"/>
  <c r="BZ64" i="4"/>
  <c r="DB17" i="4"/>
  <c r="DC17" i="4"/>
  <c r="DD17" i="4"/>
  <c r="CG17" i="4"/>
  <c r="CE17" i="4"/>
  <c r="CF17" i="4"/>
  <c r="CH17" i="4"/>
  <c r="DA17" i="4"/>
  <c r="DE17" i="4"/>
  <c r="CI17" i="4"/>
  <c r="BX21" i="4"/>
  <c r="BK21" i="4"/>
  <c r="BL21" i="4"/>
  <c r="BI21" i="4"/>
  <c r="BM21" i="4"/>
  <c r="BJ21" i="4"/>
  <c r="AN21" i="4"/>
  <c r="AO21" i="4"/>
  <c r="AP21" i="4"/>
  <c r="AM21" i="4"/>
  <c r="AQ21" i="4"/>
  <c r="BL16" i="4"/>
  <c r="BI16" i="4"/>
  <c r="BM16" i="4"/>
  <c r="BJ16" i="4"/>
  <c r="BK16" i="4"/>
  <c r="AM16" i="4"/>
  <c r="AQ16" i="4"/>
  <c r="AN16" i="4"/>
  <c r="AO16" i="4"/>
  <c r="AP16" i="4"/>
  <c r="DB49" i="4"/>
  <c r="DC49" i="4"/>
  <c r="DD49" i="4"/>
  <c r="DA49" i="4"/>
  <c r="DE49" i="4"/>
  <c r="CH49" i="4"/>
  <c r="CF49" i="4"/>
  <c r="CG49" i="4"/>
  <c r="CE49" i="4"/>
  <c r="CI49" i="4"/>
  <c r="DD43" i="4"/>
  <c r="DA43" i="4"/>
  <c r="DE43" i="4"/>
  <c r="DB43" i="4"/>
  <c r="DC43" i="4"/>
  <c r="CF43" i="4"/>
  <c r="CH43" i="4"/>
  <c r="CE43" i="4"/>
  <c r="CI43" i="4"/>
  <c r="CG43" i="4"/>
  <c r="DC35" i="4"/>
  <c r="DD35" i="4"/>
  <c r="DA35" i="4"/>
  <c r="DE35" i="4"/>
  <c r="DB35" i="4"/>
  <c r="CE35" i="4"/>
  <c r="CI35" i="4"/>
  <c r="CG35" i="4"/>
  <c r="CH35" i="4"/>
  <c r="CF35" i="4"/>
  <c r="DB31" i="4"/>
  <c r="CG31" i="4"/>
  <c r="CF31" i="4"/>
  <c r="DA31" i="4"/>
  <c r="DD31" i="4"/>
  <c r="CI31" i="4"/>
  <c r="CH31" i="4"/>
  <c r="DC31" i="4"/>
  <c r="CE31" i="4"/>
  <c r="DE31" i="4"/>
  <c r="BL45" i="4"/>
  <c r="BK45" i="4"/>
  <c r="BI45" i="4"/>
  <c r="BJ45" i="4"/>
  <c r="BM45" i="4"/>
  <c r="AN45" i="4"/>
  <c r="AO45" i="4"/>
  <c r="AP45" i="4"/>
  <c r="AM45" i="4"/>
  <c r="AQ45" i="4"/>
  <c r="BL41" i="4"/>
  <c r="BK41" i="4"/>
  <c r="BM41" i="4"/>
  <c r="AN41" i="4"/>
  <c r="AO41" i="4"/>
  <c r="BI41" i="4"/>
  <c r="AP41" i="4"/>
  <c r="BJ41" i="4"/>
  <c r="AM41" i="4"/>
  <c r="AQ41" i="4"/>
  <c r="BL33" i="4"/>
  <c r="BK33" i="4"/>
  <c r="BM33" i="4"/>
  <c r="AN33" i="4"/>
  <c r="AO33" i="4"/>
  <c r="BI33" i="4"/>
  <c r="AP33" i="4"/>
  <c r="BJ33" i="4"/>
  <c r="AM33" i="4"/>
  <c r="AQ33" i="4"/>
  <c r="BI29" i="4"/>
  <c r="BM29" i="4"/>
  <c r="BL29" i="4"/>
  <c r="AO29" i="4"/>
  <c r="AP29" i="4"/>
  <c r="BJ29" i="4"/>
  <c r="AM29" i="4"/>
  <c r="AQ29" i="4"/>
  <c r="BK29" i="4"/>
  <c r="AN29" i="4"/>
  <c r="BK58" i="4"/>
  <c r="BI58" i="4"/>
  <c r="BM58" i="4"/>
  <c r="BJ58" i="4"/>
  <c r="AP58" i="4"/>
  <c r="AM58" i="4"/>
  <c r="AQ58" i="4"/>
  <c r="BL58" i="4"/>
  <c r="AN58" i="4"/>
  <c r="AO58" i="4"/>
  <c r="F27" i="45"/>
  <c r="J26" i="45"/>
  <c r="F26" i="45" s="1"/>
  <c r="BX45" i="4"/>
  <c r="BX44" i="4"/>
  <c r="F10" i="23"/>
  <c r="J10" i="23" s="1"/>
  <c r="BX31" i="4"/>
  <c r="BX30" i="4"/>
  <c r="J18" i="28"/>
  <c r="AC25" i="28"/>
  <c r="F22" i="28"/>
  <c r="CZ16" i="4"/>
  <c r="DP16" i="4"/>
  <c r="CZ21" i="4"/>
  <c r="DP21" i="4"/>
  <c r="CZ50" i="4"/>
  <c r="DP50" i="4"/>
  <c r="CZ44" i="4"/>
  <c r="DP44" i="4"/>
  <c r="CZ40" i="4"/>
  <c r="DP40" i="4"/>
  <c r="CZ32" i="4"/>
  <c r="DP32" i="4"/>
  <c r="CZ17" i="4"/>
  <c r="DP17" i="4"/>
  <c r="CZ49" i="4"/>
  <c r="DP49" i="4"/>
  <c r="CZ35" i="4"/>
  <c r="DP35" i="4"/>
  <c r="CZ31" i="4"/>
  <c r="DP31" i="4"/>
  <c r="CZ18" i="4"/>
  <c r="DP18" i="4"/>
  <c r="CZ42" i="4"/>
  <c r="DP42" i="4"/>
  <c r="CZ30" i="4"/>
  <c r="DP30" i="4"/>
  <c r="CZ43" i="4"/>
  <c r="DP43" i="4"/>
  <c r="CZ14" i="4"/>
  <c r="DP14" i="4"/>
  <c r="CZ46" i="4"/>
  <c r="DP46" i="4"/>
  <c r="CZ34" i="4"/>
  <c r="DP34" i="4"/>
  <c r="CZ15" i="4"/>
  <c r="DP15" i="4"/>
  <c r="CZ28" i="4"/>
  <c r="DP28" i="4"/>
  <c r="CZ45" i="4"/>
  <c r="DP45" i="4"/>
  <c r="CZ41" i="4"/>
  <c r="DP41" i="4"/>
  <c r="CZ33" i="4"/>
  <c r="DP33" i="4"/>
  <c r="CZ29" i="4"/>
  <c r="DP29" i="4"/>
  <c r="CD16" i="4"/>
  <c r="CT16" i="4"/>
  <c r="CD21" i="4"/>
  <c r="CT21" i="4"/>
  <c r="CD50" i="4"/>
  <c r="CT50" i="4"/>
  <c r="CD40" i="4"/>
  <c r="CT40" i="4"/>
  <c r="CD17" i="4"/>
  <c r="CT17" i="4"/>
  <c r="CD49" i="4"/>
  <c r="CT49" i="4"/>
  <c r="CD43" i="4"/>
  <c r="CT43" i="4"/>
  <c r="CD35" i="4"/>
  <c r="CT35" i="4"/>
  <c r="CD31" i="4"/>
  <c r="CT31" i="4"/>
  <c r="CD44" i="4"/>
  <c r="CT44" i="4"/>
  <c r="CD32" i="4"/>
  <c r="CT32" i="4"/>
  <c r="CD14" i="4"/>
  <c r="CT14" i="4"/>
  <c r="CD18" i="4"/>
  <c r="CT18" i="4"/>
  <c r="CD46" i="4"/>
  <c r="CT46" i="4"/>
  <c r="CD42" i="4"/>
  <c r="CT42" i="4"/>
  <c r="CD34" i="4"/>
  <c r="CT34" i="4"/>
  <c r="CD30" i="4"/>
  <c r="CT30" i="4"/>
  <c r="CD15" i="4"/>
  <c r="CT15" i="4"/>
  <c r="CD28" i="4"/>
  <c r="CT28" i="4"/>
  <c r="CD45" i="4"/>
  <c r="CT45" i="4"/>
  <c r="CD41" i="4"/>
  <c r="CT41" i="4"/>
  <c r="CD33" i="4"/>
  <c r="CT33" i="4"/>
  <c r="CD29" i="4"/>
  <c r="CT29" i="4"/>
  <c r="BH14" i="4"/>
  <c r="BX14" i="4"/>
  <c r="BH17" i="4"/>
  <c r="BX17" i="4"/>
  <c r="BX16" i="4"/>
  <c r="BH41" i="4"/>
  <c r="BX41" i="4"/>
  <c r="BH33" i="4"/>
  <c r="BX33" i="4"/>
  <c r="BH29" i="4"/>
  <c r="BX29" i="4"/>
  <c r="BH15" i="4"/>
  <c r="BX15" i="4"/>
  <c r="BX40" i="4"/>
  <c r="BX32" i="4"/>
  <c r="BH18" i="4"/>
  <c r="BX18" i="4"/>
  <c r="BX35" i="4"/>
  <c r="BB42" i="4"/>
  <c r="BH42" i="4"/>
  <c r="BB30" i="4"/>
  <c r="BH30" i="4"/>
  <c r="BB67" i="4"/>
  <c r="BH67" i="4"/>
  <c r="BB34" i="4"/>
  <c r="BH34" i="4"/>
  <c r="BB21" i="4"/>
  <c r="BH21" i="4"/>
  <c r="BB45" i="4"/>
  <c r="BH45" i="4"/>
  <c r="BH32" i="4"/>
  <c r="BB28" i="4"/>
  <c r="BH28" i="4"/>
  <c r="BB46" i="4"/>
  <c r="BH46" i="4"/>
  <c r="BH16" i="4"/>
  <c r="BB50" i="4"/>
  <c r="BH50" i="4"/>
  <c r="BB44" i="4"/>
  <c r="BH44" i="4"/>
  <c r="BH40" i="4"/>
  <c r="BB70" i="4"/>
  <c r="BH70" i="4"/>
  <c r="BB49" i="4"/>
  <c r="BH49" i="4"/>
  <c r="BB43" i="4"/>
  <c r="BH43" i="4"/>
  <c r="BH35" i="4"/>
  <c r="BB31" i="4"/>
  <c r="BH31" i="4"/>
  <c r="BB64" i="4"/>
  <c r="BH64" i="4"/>
  <c r="AL14" i="4"/>
  <c r="BB14" i="4"/>
  <c r="BB16" i="4"/>
  <c r="BB41" i="4"/>
  <c r="BB33" i="4"/>
  <c r="BB29" i="4"/>
  <c r="BB40" i="4"/>
  <c r="BB32" i="4"/>
  <c r="AL17" i="4"/>
  <c r="BB17" i="4"/>
  <c r="AL15" i="4"/>
  <c r="BB15" i="4"/>
  <c r="AL18" i="4"/>
  <c r="BB18" i="4"/>
  <c r="BB35" i="4"/>
  <c r="BW46" i="4"/>
  <c r="AL46" i="4"/>
  <c r="BS21" i="4"/>
  <c r="AL21" i="4"/>
  <c r="AL16" i="4"/>
  <c r="BZ45" i="4"/>
  <c r="AL45" i="4"/>
  <c r="AL41" i="4"/>
  <c r="AL33" i="4"/>
  <c r="AL29" i="4"/>
  <c r="BW42" i="4"/>
  <c r="AL42" i="4"/>
  <c r="BY34" i="4"/>
  <c r="AL34" i="4"/>
  <c r="BV30" i="4"/>
  <c r="AL30" i="4"/>
  <c r="AJ50" i="4"/>
  <c r="AL50" i="4"/>
  <c r="AJ44" i="4"/>
  <c r="AL44" i="4"/>
  <c r="AL40" i="4"/>
  <c r="AL32" i="4"/>
  <c r="AZ70" i="4"/>
  <c r="AL70" i="4"/>
  <c r="BV28" i="4"/>
  <c r="AL28" i="4"/>
  <c r="BE67" i="4"/>
  <c r="AL67" i="4"/>
  <c r="BV49" i="4"/>
  <c r="AL49" i="4"/>
  <c r="BV43" i="4"/>
  <c r="AL43" i="4"/>
  <c r="AL35" i="4"/>
  <c r="BZ31" i="4"/>
  <c r="AL31" i="4"/>
  <c r="BW64" i="4"/>
  <c r="AL64" i="4"/>
  <c r="J26" i="38"/>
  <c r="F26" i="38" s="1"/>
  <c r="H26" i="38" s="1"/>
  <c r="J24" i="39"/>
  <c r="F24" i="39" s="1"/>
  <c r="H24" i="39" s="1"/>
  <c r="AR30" i="4"/>
  <c r="H95" i="25"/>
  <c r="H30" i="25"/>
  <c r="H21" i="25"/>
  <c r="F25" i="39"/>
  <c r="F10" i="39"/>
  <c r="AW42" i="4"/>
  <c r="BS28" i="4"/>
  <c r="F27" i="38"/>
  <c r="J30" i="25"/>
  <c r="AY30" i="4"/>
  <c r="J21" i="25"/>
  <c r="AI30" i="4"/>
  <c r="F148" i="30"/>
  <c r="F123" i="30"/>
  <c r="AK28" i="4"/>
  <c r="AZ67" i="4"/>
  <c r="H48" i="25"/>
  <c r="AR45" i="4"/>
  <c r="AI45" i="4"/>
  <c r="AV45" i="4"/>
  <c r="AW45" i="4"/>
  <c r="BQ45" i="4"/>
  <c r="F10" i="37"/>
  <c r="F25" i="37"/>
  <c r="J25" i="37" s="1"/>
  <c r="Z33" i="25"/>
  <c r="H39" i="25"/>
  <c r="H41" i="25" s="1"/>
  <c r="J39" i="25"/>
  <c r="J41" i="25" s="1"/>
  <c r="AJ45" i="4"/>
  <c r="AS28" i="4"/>
  <c r="AW67" i="4"/>
  <c r="BA67" i="4"/>
  <c r="BD34" i="4"/>
  <c r="BF28" i="4"/>
  <c r="BW45" i="4"/>
  <c r="AI46" i="4"/>
  <c r="AJ30" i="4"/>
  <c r="AZ34" i="4"/>
  <c r="BG46" i="4"/>
  <c r="BQ67" i="4"/>
  <c r="J48" i="25"/>
  <c r="AJ46" i="4"/>
  <c r="AK30" i="4"/>
  <c r="AR46" i="4"/>
  <c r="AS30" i="4"/>
  <c r="AT42" i="4"/>
  <c r="AU30" i="4"/>
  <c r="AV46" i="4"/>
  <c r="BA46" i="4"/>
  <c r="BO34" i="4"/>
  <c r="F22" i="29"/>
  <c r="AJ28" i="4"/>
  <c r="AK46" i="4"/>
  <c r="AS46" i="4"/>
  <c r="AT34" i="4"/>
  <c r="AT67" i="4"/>
  <c r="AU46" i="4"/>
  <c r="AW28" i="4"/>
  <c r="AW34" i="4"/>
  <c r="AX46" i="4"/>
  <c r="AX67" i="4"/>
  <c r="AZ30" i="4"/>
  <c r="BA42" i="4"/>
  <c r="BC28" i="4"/>
  <c r="BC67" i="4"/>
  <c r="BF46" i="4"/>
  <c r="BN46" i="4"/>
  <c r="BP46" i="4"/>
  <c r="BS34" i="4"/>
  <c r="BW34" i="4"/>
  <c r="BG67" i="4"/>
  <c r="J19" i="32"/>
  <c r="J24" i="32" s="1"/>
  <c r="AC28" i="32"/>
  <c r="F10" i="26"/>
  <c r="F54" i="26"/>
  <c r="AI42" i="4"/>
  <c r="AJ42" i="4"/>
  <c r="AK42" i="4"/>
  <c r="AR42" i="4"/>
  <c r="AS42" i="4"/>
  <c r="AT30" i="4"/>
  <c r="AU42" i="4"/>
  <c r="AV34" i="4"/>
  <c r="AV67" i="4"/>
  <c r="AW46" i="4"/>
  <c r="AW30" i="4"/>
  <c r="AX42" i="4"/>
  <c r="AY46" i="4"/>
  <c r="AZ28" i="4"/>
  <c r="BA34" i="4"/>
  <c r="BC34" i="4"/>
  <c r="BF42" i="4"/>
  <c r="BN30" i="4"/>
  <c r="BQ28" i="4"/>
  <c r="BT34" i="4"/>
  <c r="BZ42" i="4"/>
  <c r="BF67" i="4"/>
  <c r="H87" i="30"/>
  <c r="J87" i="30" s="1"/>
  <c r="AC39" i="34"/>
  <c r="J53" i="26"/>
  <c r="F53" i="26" s="1"/>
  <c r="H53" i="26" s="1"/>
  <c r="AI34" i="4"/>
  <c r="AI67" i="4"/>
  <c r="AJ34" i="4"/>
  <c r="AK34" i="4"/>
  <c r="AK67" i="4"/>
  <c r="AR28" i="4"/>
  <c r="AR34" i="4"/>
  <c r="AR67" i="4"/>
  <c r="AS34" i="4"/>
  <c r="AS67" i="4"/>
  <c r="AT46" i="4"/>
  <c r="AU34" i="4"/>
  <c r="AU67" i="4"/>
  <c r="AV28" i="4"/>
  <c r="AV30" i="4"/>
  <c r="AX30" i="4"/>
  <c r="AY42" i="4"/>
  <c r="AY67" i="4"/>
  <c r="AZ46" i="4"/>
  <c r="BA28" i="4"/>
  <c r="BA30" i="4"/>
  <c r="BC30" i="4"/>
  <c r="BD67" i="4"/>
  <c r="BE42" i="4"/>
  <c r="BF34" i="4"/>
  <c r="BO42" i="4"/>
  <c r="BT30" i="4"/>
  <c r="BZ30" i="4"/>
  <c r="BU67" i="4"/>
  <c r="J23" i="23"/>
  <c r="J25" i="23" s="1"/>
  <c r="F10" i="36"/>
  <c r="F10" i="35"/>
  <c r="H10" i="35" s="1"/>
  <c r="J24" i="36"/>
  <c r="F24" i="36" s="1"/>
  <c r="F25" i="36"/>
  <c r="AC30" i="36" s="1"/>
  <c r="J24" i="35"/>
  <c r="F24" i="35" s="1"/>
  <c r="F25" i="35"/>
  <c r="AC30" i="35" s="1"/>
  <c r="H19" i="29"/>
  <c r="H22" i="29" s="1"/>
  <c r="J19" i="29"/>
  <c r="J22" i="29" s="1"/>
  <c r="J27" i="23"/>
  <c r="F27" i="23" s="1"/>
  <c r="H27" i="23" s="1"/>
  <c r="F28" i="23"/>
  <c r="J26" i="24"/>
  <c r="F26" i="24" s="1"/>
  <c r="H26" i="24" s="1"/>
  <c r="F80" i="20"/>
  <c r="H80" i="20" s="1"/>
  <c r="D246" i="20"/>
  <c r="AS45" i="4"/>
  <c r="AT45" i="4"/>
  <c r="AU45" i="4"/>
  <c r="AX21" i="4"/>
  <c r="BR45" i="4"/>
  <c r="AY45" i="4"/>
  <c r="AZ45" i="4"/>
  <c r="BN45" i="4"/>
  <c r="BY45" i="4"/>
  <c r="AK45" i="4"/>
  <c r="AX45" i="4"/>
  <c r="BD45" i="4"/>
  <c r="BS45" i="4"/>
  <c r="BU45" i="4"/>
  <c r="F10" i="21"/>
  <c r="H10" i="21" s="1"/>
  <c r="H11" i="21" s="1"/>
  <c r="F10" i="24"/>
  <c r="J10" i="24" s="1"/>
  <c r="F42" i="21"/>
  <c r="Z37" i="21" s="1"/>
  <c r="J41" i="21"/>
  <c r="F41" i="21" s="1"/>
  <c r="Z36" i="21" s="1"/>
  <c r="H39" i="20"/>
  <c r="J39" i="20"/>
  <c r="H32" i="20"/>
  <c r="J32" i="20"/>
  <c r="H83" i="20"/>
  <c r="J83" i="20"/>
  <c r="H32" i="21"/>
  <c r="J31" i="22"/>
  <c r="H31" i="22"/>
  <c r="H47" i="22"/>
  <c r="J47" i="22"/>
  <c r="J30" i="22"/>
  <c r="H30" i="22"/>
  <c r="J91" i="22"/>
  <c r="H91" i="22"/>
  <c r="H20" i="22"/>
  <c r="J20" i="22"/>
  <c r="H25" i="22"/>
  <c r="J25" i="22"/>
  <c r="J24" i="22"/>
  <c r="H24" i="22"/>
  <c r="H26" i="22"/>
  <c r="J26" i="22"/>
  <c r="F10" i="20"/>
  <c r="F11" i="20" s="1"/>
  <c r="F10" i="28"/>
  <c r="J10" i="28" s="1"/>
  <c r="F25" i="28"/>
  <c r="J22" i="28"/>
  <c r="BE21" i="4"/>
  <c r="BT21" i="4"/>
  <c r="AI21" i="4"/>
  <c r="AW21" i="4"/>
  <c r="BF19" i="4"/>
  <c r="AZ21" i="4"/>
  <c r="BG21" i="4"/>
  <c r="H21" i="34"/>
  <c r="H24" i="34" s="1"/>
  <c r="J21" i="34"/>
  <c r="J24" i="34" s="1"/>
  <c r="F10" i="29"/>
  <c r="J10" i="29" s="1"/>
  <c r="AT28" i="4"/>
  <c r="AV42" i="4"/>
  <c r="AX28" i="4"/>
  <c r="AX34" i="4"/>
  <c r="AY34" i="4"/>
  <c r="AZ42" i="4"/>
  <c r="BA45" i="4"/>
  <c r="BC45" i="4"/>
  <c r="BD30" i="4"/>
  <c r="BE45" i="4"/>
  <c r="BF45" i="4"/>
  <c r="BG45" i="4"/>
  <c r="BO45" i="4"/>
  <c r="BP45" i="4"/>
  <c r="BR30" i="4"/>
  <c r="BT45" i="4"/>
  <c r="BV45" i="4"/>
  <c r="AS21" i="4"/>
  <c r="BP21" i="4"/>
  <c r="H19" i="32"/>
  <c r="F25" i="29"/>
  <c r="AC30" i="29" s="1"/>
  <c r="J24" i="29"/>
  <c r="H43" i="22"/>
  <c r="J43" i="22"/>
  <c r="F54" i="22"/>
  <c r="Z39" i="22" s="1"/>
  <c r="F51" i="25"/>
  <c r="Z36" i="25" s="1"/>
  <c r="F10" i="25"/>
  <c r="J26" i="33"/>
  <c r="F26" i="33" s="1"/>
  <c r="AC33" i="33" s="1"/>
  <c r="J26" i="32"/>
  <c r="F26" i="32" s="1"/>
  <c r="AC33" i="32" s="1"/>
  <c r="J24" i="33"/>
  <c r="H24" i="33"/>
  <c r="J50" i="25"/>
  <c r="J95" i="25"/>
  <c r="H57" i="30"/>
  <c r="J57" i="30" s="1"/>
  <c r="J53" i="22"/>
  <c r="F53" i="22" s="1"/>
  <c r="F27" i="33"/>
  <c r="AC34" i="33" s="1"/>
  <c r="F27" i="32"/>
  <c r="AC34" i="32" s="1"/>
  <c r="J26" i="34"/>
  <c r="F26" i="34" s="1"/>
  <c r="AC33" i="34" s="1"/>
  <c r="F27" i="34"/>
  <c r="AC34" i="34" s="1"/>
  <c r="F41" i="25"/>
  <c r="D260" i="22"/>
  <c r="H430" i="22"/>
  <c r="F97" i="22" s="1"/>
  <c r="D411" i="22"/>
  <c r="BW18" i="4"/>
  <c r="BS18" i="4"/>
  <c r="BY18" i="4"/>
  <c r="BT18" i="4"/>
  <c r="BP18" i="4"/>
  <c r="BF18" i="4"/>
  <c r="AK18" i="4"/>
  <c r="AU18" i="4"/>
  <c r="AX18" i="4"/>
  <c r="BC18" i="4"/>
  <c r="BO18" i="4"/>
  <c r="BV18" i="4"/>
  <c r="BY67" i="4"/>
  <c r="AJ67" i="4"/>
  <c r="AI19" i="4"/>
  <c r="AJ18" i="4"/>
  <c r="AR21" i="4"/>
  <c r="AT18" i="4"/>
  <c r="AV21" i="4"/>
  <c r="AY21" i="4"/>
  <c r="BA18" i="4"/>
  <c r="BD21" i="4"/>
  <c r="BE19" i="4"/>
  <c r="BQ21" i="4"/>
  <c r="BU18" i="4"/>
  <c r="BZ21" i="4"/>
  <c r="BU21" i="4"/>
  <c r="BV21" i="4"/>
  <c r="BR21" i="4"/>
  <c r="BN21" i="4"/>
  <c r="AI28" i="4"/>
  <c r="AI18" i="4"/>
  <c r="AK21" i="4"/>
  <c r="AS18" i="4"/>
  <c r="AU21" i="4"/>
  <c r="AW18" i="4"/>
  <c r="AZ18" i="4"/>
  <c r="BC21" i="4"/>
  <c r="BE18" i="4"/>
  <c r="BG18" i="4"/>
  <c r="BR18" i="4"/>
  <c r="BY21" i="4"/>
  <c r="BV46" i="4"/>
  <c r="AJ21" i="4"/>
  <c r="AR18" i="4"/>
  <c r="AT21" i="4"/>
  <c r="AV18" i="4"/>
  <c r="AY18" i="4"/>
  <c r="BA21" i="4"/>
  <c r="BD18" i="4"/>
  <c r="BF21" i="4"/>
  <c r="BN18" i="4"/>
  <c r="BO21" i="4"/>
  <c r="BQ18" i="4"/>
  <c r="BW21" i="4"/>
  <c r="BZ18" i="4"/>
  <c r="L430" i="22"/>
  <c r="F50" i="22" s="1"/>
  <c r="D353" i="22"/>
  <c r="D354" i="22" s="1"/>
  <c r="H380" i="22"/>
  <c r="H181" i="22"/>
  <c r="F88" i="22" s="1"/>
  <c r="J145" i="22"/>
  <c r="F18" i="22" s="1"/>
  <c r="L127" i="27"/>
  <c r="AK64" i="4"/>
  <c r="AK43" i="4"/>
  <c r="BO28" i="4"/>
  <c r="BR46" i="4"/>
  <c r="BY42" i="4"/>
  <c r="AI31" i="4"/>
  <c r="AV31" i="4"/>
  <c r="BS42" i="4"/>
  <c r="AJ49" i="4"/>
  <c r="AU49" i="4"/>
  <c r="AY64" i="4"/>
  <c r="BC31" i="4"/>
  <c r="AW31" i="4"/>
  <c r="AX64" i="4"/>
  <c r="AI43" i="4"/>
  <c r="AJ64" i="4"/>
  <c r="AK49" i="4"/>
  <c r="AR31" i="4"/>
  <c r="AS31" i="4"/>
  <c r="AT64" i="4"/>
  <c r="AW43" i="4"/>
  <c r="AZ31" i="4"/>
  <c r="AI49" i="4"/>
  <c r="AI64" i="4"/>
  <c r="AJ31" i="4"/>
  <c r="AS43" i="4"/>
  <c r="AV64" i="4"/>
  <c r="AW49" i="4"/>
  <c r="AW64" i="4"/>
  <c r="AX31" i="4"/>
  <c r="AY31" i="4"/>
  <c r="BA43" i="4"/>
  <c r="BA64" i="4"/>
  <c r="BC64" i="4"/>
  <c r="BU43" i="4"/>
  <c r="AJ43" i="4"/>
  <c r="AR64" i="4"/>
  <c r="AS49" i="4"/>
  <c r="AS64" i="4"/>
  <c r="AT31" i="4"/>
  <c r="AU43" i="4"/>
  <c r="AU64" i="4"/>
  <c r="AZ64" i="4"/>
  <c r="BA49" i="4"/>
  <c r="BF64" i="4"/>
  <c r="BP64" i="4"/>
  <c r="BE28" i="4"/>
  <c r="BE31" i="4"/>
  <c r="BF30" i="4"/>
  <c r="BG42" i="4"/>
  <c r="BN43" i="4"/>
  <c r="BO46" i="4"/>
  <c r="BO30" i="4"/>
  <c r="BP42" i="4"/>
  <c r="BQ34" i="4"/>
  <c r="BR42" i="4"/>
  <c r="BS46" i="4"/>
  <c r="BT28" i="4"/>
  <c r="BU28" i="4"/>
  <c r="BU42" i="4"/>
  <c r="BV42" i="4"/>
  <c r="BW30" i="4"/>
  <c r="BY30" i="4"/>
  <c r="BO67" i="4"/>
  <c r="BT64" i="4"/>
  <c r="BU64" i="4"/>
  <c r="BE46" i="4"/>
  <c r="BE30" i="4"/>
  <c r="BF43" i="4"/>
  <c r="BG28" i="4"/>
  <c r="BG34" i="4"/>
  <c r="BN42" i="4"/>
  <c r="BP28" i="4"/>
  <c r="BP34" i="4"/>
  <c r="BQ30" i="4"/>
  <c r="BR34" i="4"/>
  <c r="BU46" i="4"/>
  <c r="BU30" i="4"/>
  <c r="BV34" i="4"/>
  <c r="BY46" i="4"/>
  <c r="BN67" i="4"/>
  <c r="BR67" i="4"/>
  <c r="BS67" i="4"/>
  <c r="BZ67" i="4"/>
  <c r="BZ43" i="4"/>
  <c r="BE43" i="4"/>
  <c r="BN31" i="4"/>
  <c r="BY28" i="4"/>
  <c r="BY31" i="4"/>
  <c r="BY64" i="4"/>
  <c r="BR49" i="4"/>
  <c r="BU49" i="4"/>
  <c r="BW31" i="4"/>
  <c r="BZ46" i="4"/>
  <c r="BZ34" i="4"/>
  <c r="BQ64" i="4"/>
  <c r="BV67" i="4"/>
  <c r="BW67" i="4"/>
  <c r="BO43" i="4"/>
  <c r="BQ31" i="4"/>
  <c r="BW28" i="4"/>
  <c r="BY43" i="4"/>
  <c r="BZ28" i="4"/>
  <c r="BD31" i="4"/>
  <c r="BE49" i="4"/>
  <c r="BF49" i="4"/>
  <c r="BN49" i="4"/>
  <c r="BO49" i="4"/>
  <c r="BR43" i="4"/>
  <c r="BT31" i="4"/>
  <c r="BU31" i="4"/>
  <c r="BY49" i="4"/>
  <c r="BZ49" i="4"/>
  <c r="BG64" i="4"/>
  <c r="BN15" i="4"/>
  <c r="CR14" i="4"/>
  <c r="CA16" i="4"/>
  <c r="CO18" i="4"/>
  <c r="BZ50" i="4"/>
  <c r="BE50" i="4"/>
  <c r="BU50" i="4"/>
  <c r="AW50" i="4"/>
  <c r="BY50" i="4"/>
  <c r="BN50" i="4"/>
  <c r="BZ44" i="4"/>
  <c r="BE44" i="4"/>
  <c r="BU44" i="4"/>
  <c r="AW44" i="4"/>
  <c r="BY44" i="4"/>
  <c r="BN44" i="4"/>
  <c r="BZ70" i="4"/>
  <c r="AT70" i="4"/>
  <c r="BN70" i="4"/>
  <c r="AR70" i="4"/>
  <c r="BR70" i="4"/>
  <c r="BV70" i="4"/>
  <c r="AS50" i="4"/>
  <c r="AS44" i="4"/>
  <c r="AK70" i="4"/>
  <c r="AS70" i="4"/>
  <c r="AV70" i="4"/>
  <c r="AX70" i="4"/>
  <c r="AY70" i="4"/>
  <c r="BD70" i="4"/>
  <c r="BE70" i="4"/>
  <c r="BO70" i="4"/>
  <c r="BS70" i="4"/>
  <c r="BW70" i="4"/>
  <c r="AI70" i="4"/>
  <c r="AJ70" i="4"/>
  <c r="AU70" i="4"/>
  <c r="BF70" i="4"/>
  <c r="BN64" i="4"/>
  <c r="BP70" i="4"/>
  <c r="BR64" i="4"/>
  <c r="BT70" i="4"/>
  <c r="BV64" i="4"/>
  <c r="BY70" i="4"/>
  <c r="AW70" i="4"/>
  <c r="BA70" i="4"/>
  <c r="BC70" i="4"/>
  <c r="BD64" i="4"/>
  <c r="BE64" i="4"/>
  <c r="BG70" i="4"/>
  <c r="BO64" i="4"/>
  <c r="BP67" i="4"/>
  <c r="BQ70" i="4"/>
  <c r="BS64" i="4"/>
  <c r="BT67" i="4"/>
  <c r="BU70" i="4"/>
  <c r="AI50" i="4"/>
  <c r="AI44" i="4"/>
  <c r="AZ50" i="4"/>
  <c r="AZ44" i="4"/>
  <c r="BC50" i="4"/>
  <c r="BC44" i="4"/>
  <c r="BD50" i="4"/>
  <c r="BD44" i="4"/>
  <c r="BQ50" i="4"/>
  <c r="BQ44" i="4"/>
  <c r="BT50" i="4"/>
  <c r="BT44" i="4"/>
  <c r="BW50" i="4"/>
  <c r="BW44" i="4"/>
  <c r="AR50" i="4"/>
  <c r="AR44" i="4"/>
  <c r="AT50" i="4"/>
  <c r="AT44" i="4"/>
  <c r="AV50" i="4"/>
  <c r="AV44" i="4"/>
  <c r="AX50" i="4"/>
  <c r="AX44" i="4"/>
  <c r="AY50" i="4"/>
  <c r="AY44" i="4"/>
  <c r="AZ49" i="4"/>
  <c r="AZ43" i="4"/>
  <c r="BC49" i="4"/>
  <c r="BC43" i="4"/>
  <c r="BD49" i="4"/>
  <c r="BD43" i="4"/>
  <c r="BG50" i="4"/>
  <c r="BG44" i="4"/>
  <c r="BG31" i="4"/>
  <c r="BP50" i="4"/>
  <c r="BP44" i="4"/>
  <c r="BP31" i="4"/>
  <c r="BQ49" i="4"/>
  <c r="BQ43" i="4"/>
  <c r="BS50" i="4"/>
  <c r="BS44" i="4"/>
  <c r="BS31" i="4"/>
  <c r="BT49" i="4"/>
  <c r="BT43" i="4"/>
  <c r="BV50" i="4"/>
  <c r="BV44" i="4"/>
  <c r="BV31" i="4"/>
  <c r="BW49" i="4"/>
  <c r="BW43" i="4"/>
  <c r="AK50" i="4"/>
  <c r="AK44" i="4"/>
  <c r="AK31" i="4"/>
  <c r="AR49" i="4"/>
  <c r="AR43" i="4"/>
  <c r="AT49" i="4"/>
  <c r="AT43" i="4"/>
  <c r="AU50" i="4"/>
  <c r="AU44" i="4"/>
  <c r="AU31" i="4"/>
  <c r="AV49" i="4"/>
  <c r="AV43" i="4"/>
  <c r="AX49" i="4"/>
  <c r="AX43" i="4"/>
  <c r="AY49" i="4"/>
  <c r="AY43" i="4"/>
  <c r="BA50" i="4"/>
  <c r="BA44" i="4"/>
  <c r="BA31" i="4"/>
  <c r="BC46" i="4"/>
  <c r="BC42" i="4"/>
  <c r="BD46" i="4"/>
  <c r="BD42" i="4"/>
  <c r="BE34" i="4"/>
  <c r="BF50" i="4"/>
  <c r="BF44" i="4"/>
  <c r="BF31" i="4"/>
  <c r="BG49" i="4"/>
  <c r="BG43" i="4"/>
  <c r="BG30" i="4"/>
  <c r="BN34" i="4"/>
  <c r="BO50" i="4"/>
  <c r="BO44" i="4"/>
  <c r="BO31" i="4"/>
  <c r="BP49" i="4"/>
  <c r="BP43" i="4"/>
  <c r="BP30" i="4"/>
  <c r="BQ46" i="4"/>
  <c r="BQ42" i="4"/>
  <c r="BR50" i="4"/>
  <c r="BR44" i="4"/>
  <c r="BR31" i="4"/>
  <c r="BS49" i="4"/>
  <c r="BS43" i="4"/>
  <c r="BS30" i="4"/>
  <c r="BT46" i="4"/>
  <c r="BT42" i="4"/>
  <c r="BU34" i="4"/>
  <c r="AU28" i="4"/>
  <c r="AY28" i="4"/>
  <c r="BD28" i="4"/>
  <c r="BN28" i="4"/>
  <c r="BR28" i="4"/>
  <c r="J347" i="22"/>
  <c r="F41" i="22" s="1"/>
  <c r="Z35" i="22" s="1"/>
  <c r="J339" i="22"/>
  <c r="F40" i="22" s="1"/>
  <c r="Z34" i="22" s="1"/>
  <c r="J132" i="20"/>
  <c r="F19" i="20" s="1"/>
  <c r="J331" i="22"/>
  <c r="F39" i="22" s="1"/>
  <c r="Z33" i="22" s="1"/>
  <c r="J405" i="22"/>
  <c r="F48" i="22" s="1"/>
  <c r="J114" i="22"/>
  <c r="F15" i="22" s="1"/>
  <c r="J123" i="22"/>
  <c r="F16" i="22" s="1"/>
  <c r="J137" i="22"/>
  <c r="F17" i="22" s="1"/>
  <c r="D151" i="22"/>
  <c r="J296" i="22"/>
  <c r="H19" i="30"/>
  <c r="J19" i="30" s="1"/>
  <c r="H17" i="30"/>
  <c r="J17" i="30" s="1"/>
  <c r="J313" i="20"/>
  <c r="D313" i="20"/>
  <c r="D314" i="20" s="1"/>
  <c r="F146" i="30"/>
  <c r="J102" i="30"/>
  <c r="F152" i="30"/>
  <c r="J58" i="30"/>
  <c r="F103" i="30"/>
  <c r="F108" i="30"/>
  <c r="F133" i="30" s="1"/>
  <c r="H20" i="30"/>
  <c r="J20" i="30" s="1"/>
  <c r="F76" i="30"/>
  <c r="F101" i="30" s="1"/>
  <c r="F126" i="30" s="1"/>
  <c r="F72" i="30"/>
  <c r="F97" i="30" s="1"/>
  <c r="F30" i="30"/>
  <c r="H21" i="30"/>
  <c r="J21" i="30" s="1"/>
  <c r="F82" i="30"/>
  <c r="F75" i="30"/>
  <c r="J22" i="30"/>
  <c r="F74" i="30"/>
  <c r="F99" i="30" s="1"/>
  <c r="F124" i="30" s="1"/>
  <c r="H18" i="30"/>
  <c r="J18" i="30" s="1"/>
  <c r="J98" i="30"/>
  <c r="J308" i="20"/>
  <c r="F37" i="20" s="1"/>
  <c r="J239" i="20"/>
  <c r="J238" i="20"/>
  <c r="J237" i="20"/>
  <c r="D43" i="27"/>
  <c r="K42" i="27" s="1"/>
  <c r="J10" i="45" l="1"/>
  <c r="J11" i="45" s="1"/>
  <c r="F11" i="45"/>
  <c r="AC32" i="23"/>
  <c r="F25" i="23"/>
  <c r="AC33" i="45"/>
  <c r="H26" i="45"/>
  <c r="J27" i="45"/>
  <c r="J28" i="45" s="1"/>
  <c r="H27" i="45"/>
  <c r="AC33" i="44"/>
  <c r="H28" i="44"/>
  <c r="H11" i="44"/>
  <c r="F11" i="44"/>
  <c r="J11" i="44"/>
  <c r="H11" i="43"/>
  <c r="J11" i="43"/>
  <c r="F11" i="43"/>
  <c r="AC33" i="42"/>
  <c r="H28" i="42"/>
  <c r="AC33" i="43"/>
  <c r="H28" i="43"/>
  <c r="H11" i="42"/>
  <c r="J11" i="42"/>
  <c r="F11" i="42"/>
  <c r="H11" i="41"/>
  <c r="J11" i="41"/>
  <c r="F11" i="41"/>
  <c r="AC33" i="41"/>
  <c r="DE51" i="4"/>
  <c r="J42" i="41" s="1"/>
  <c r="AQ22" i="4"/>
  <c r="BJ22" i="4"/>
  <c r="J33" i="44" s="1"/>
  <c r="AP51" i="4"/>
  <c r="J39" i="42" s="1"/>
  <c r="BJ51" i="4"/>
  <c r="J40" i="44" s="1"/>
  <c r="AN22" i="4"/>
  <c r="J32" i="44" s="1"/>
  <c r="AO22" i="4"/>
  <c r="J32" i="43" s="1"/>
  <c r="BK22" i="4"/>
  <c r="J33" i="43" s="1"/>
  <c r="AQ51" i="4"/>
  <c r="DD51" i="4"/>
  <c r="J42" i="42" s="1"/>
  <c r="DB51" i="4"/>
  <c r="J42" i="44" s="1"/>
  <c r="CI22" i="4"/>
  <c r="J34" i="41" s="1"/>
  <c r="AN51" i="4"/>
  <c r="J39" i="44" s="1"/>
  <c r="BK51" i="4"/>
  <c r="J40" i="43" s="1"/>
  <c r="BM22" i="4"/>
  <c r="J33" i="41" s="1"/>
  <c r="CG51" i="4"/>
  <c r="J41" i="43" s="1"/>
  <c r="CI51" i="4"/>
  <c r="J41" i="41" s="1"/>
  <c r="CE51" i="4"/>
  <c r="J41" i="45" s="1"/>
  <c r="DD22" i="4"/>
  <c r="J35" i="42" s="1"/>
  <c r="CE22" i="4"/>
  <c r="J34" i="45" s="1"/>
  <c r="DB22" i="4"/>
  <c r="J35" i="44" s="1"/>
  <c r="BM51" i="4"/>
  <c r="J40" i="41" s="1"/>
  <c r="AM22" i="4"/>
  <c r="J32" i="45" s="1"/>
  <c r="BI22" i="4"/>
  <c r="J33" i="45" s="1"/>
  <c r="CH51" i="4"/>
  <c r="J41" i="42" s="1"/>
  <c r="DA51" i="4"/>
  <c r="J42" i="45" s="1"/>
  <c r="DC22" i="4"/>
  <c r="J35" i="43" s="1"/>
  <c r="CH22" i="4"/>
  <c r="J34" i="42" s="1"/>
  <c r="DA22" i="4"/>
  <c r="J35" i="45" s="1"/>
  <c r="AO51" i="4"/>
  <c r="J39" i="43" s="1"/>
  <c r="BL51" i="4"/>
  <c r="J40" i="42" s="1"/>
  <c r="BI51" i="4"/>
  <c r="J40" i="45" s="1"/>
  <c r="AP22" i="4"/>
  <c r="J32" i="42" s="1"/>
  <c r="BL22" i="4"/>
  <c r="J33" i="42" s="1"/>
  <c r="AM51" i="4"/>
  <c r="J39" i="45" s="1"/>
  <c r="DC51" i="4"/>
  <c r="J42" i="43" s="1"/>
  <c r="CF51" i="4"/>
  <c r="J41" i="44" s="1"/>
  <c r="CG22" i="4"/>
  <c r="J34" i="43" s="1"/>
  <c r="CF22" i="4"/>
  <c r="J34" i="44" s="1"/>
  <c r="DE22" i="4"/>
  <c r="J35" i="41" s="1"/>
  <c r="J28" i="43"/>
  <c r="AC34" i="43"/>
  <c r="F28" i="43"/>
  <c r="J28" i="42"/>
  <c r="AC34" i="42"/>
  <c r="F28" i="42"/>
  <c r="AC34" i="41"/>
  <c r="AC34" i="45"/>
  <c r="F28" i="45"/>
  <c r="F41" i="30" s="1"/>
  <c r="AC34" i="44"/>
  <c r="J28" i="44"/>
  <c r="F28" i="44"/>
  <c r="F42" i="30" s="1"/>
  <c r="J25" i="28"/>
  <c r="AC30" i="28"/>
  <c r="CZ51" i="4"/>
  <c r="DP51" i="4"/>
  <c r="DP22" i="4"/>
  <c r="CZ22" i="4"/>
  <c r="CD51" i="4"/>
  <c r="CD22" i="4"/>
  <c r="BH22" i="4"/>
  <c r="CT22" i="4"/>
  <c r="CT51" i="4"/>
  <c r="BX51" i="4"/>
  <c r="BX22" i="4"/>
  <c r="BH51" i="4"/>
  <c r="AL22" i="4"/>
  <c r="BB51" i="4"/>
  <c r="BB22" i="4"/>
  <c r="AL51" i="4"/>
  <c r="H10" i="38"/>
  <c r="H11" i="38" s="1"/>
  <c r="J10" i="38"/>
  <c r="J11" i="38" s="1"/>
  <c r="J27" i="38"/>
  <c r="H27" i="38"/>
  <c r="H10" i="39"/>
  <c r="H11" i="39" s="1"/>
  <c r="J10" i="39"/>
  <c r="J11" i="39" s="1"/>
  <c r="J25" i="39"/>
  <c r="J26" i="39" s="1"/>
  <c r="H25" i="39"/>
  <c r="F11" i="39"/>
  <c r="AC30" i="39"/>
  <c r="F11" i="38"/>
  <c r="AC33" i="38"/>
  <c r="H103" i="30"/>
  <c r="J103" i="30" s="1"/>
  <c r="F128" i="30"/>
  <c r="F147" i="30"/>
  <c r="F122" i="30"/>
  <c r="AC34" i="38"/>
  <c r="F28" i="24"/>
  <c r="H49" i="30" s="1"/>
  <c r="J10" i="36"/>
  <c r="J11" i="36" s="1"/>
  <c r="H10" i="36"/>
  <c r="H11" i="36" s="1"/>
  <c r="J24" i="37"/>
  <c r="J80" i="20"/>
  <c r="J10" i="37"/>
  <c r="J11" i="37" s="1"/>
  <c r="F11" i="37"/>
  <c r="H10" i="26"/>
  <c r="H11" i="26" s="1"/>
  <c r="J10" i="26"/>
  <c r="J11" i="26" s="1"/>
  <c r="J23" i="30"/>
  <c r="J30" i="30" s="1"/>
  <c r="J24" i="28"/>
  <c r="J54" i="26"/>
  <c r="J55" i="26" s="1"/>
  <c r="H54" i="26"/>
  <c r="Z39" i="26"/>
  <c r="J27" i="24"/>
  <c r="Z37" i="24"/>
  <c r="F11" i="26"/>
  <c r="H24" i="35"/>
  <c r="AC29" i="35"/>
  <c r="H24" i="36"/>
  <c r="AC29" i="36"/>
  <c r="J25" i="36"/>
  <c r="J26" i="36" s="1"/>
  <c r="H25" i="36"/>
  <c r="H25" i="35"/>
  <c r="J25" i="35"/>
  <c r="J26" i="35" s="1"/>
  <c r="J28" i="23"/>
  <c r="J29" i="23" s="1"/>
  <c r="H28" i="23"/>
  <c r="AC35" i="23"/>
  <c r="H11" i="35"/>
  <c r="J10" i="35"/>
  <c r="J11" i="35" s="1"/>
  <c r="F11" i="35"/>
  <c r="F11" i="36"/>
  <c r="F43" i="21"/>
  <c r="J10" i="21"/>
  <c r="J11" i="21" s="1"/>
  <c r="F11" i="21"/>
  <c r="J314" i="20"/>
  <c r="J318" i="20" s="1"/>
  <c r="F38" i="20" s="1"/>
  <c r="J246" i="20"/>
  <c r="J252" i="20" s="1"/>
  <c r="F31" i="20" s="1"/>
  <c r="AC31" i="20" s="1"/>
  <c r="D247" i="20"/>
  <c r="Z36" i="24"/>
  <c r="H10" i="24"/>
  <c r="H11" i="24" s="1"/>
  <c r="F11" i="24"/>
  <c r="J11" i="24"/>
  <c r="H41" i="21"/>
  <c r="H10" i="23"/>
  <c r="H11" i="23" s="1"/>
  <c r="J11" i="23"/>
  <c r="F11" i="23"/>
  <c r="H42" i="21"/>
  <c r="J42" i="21"/>
  <c r="J43" i="21" s="1"/>
  <c r="J10" i="20"/>
  <c r="J11" i="20" s="1"/>
  <c r="H10" i="20"/>
  <c r="H11" i="20" s="1"/>
  <c r="H36" i="20"/>
  <c r="J36" i="20"/>
  <c r="J37" i="20"/>
  <c r="H37" i="20"/>
  <c r="J19" i="20"/>
  <c r="H19" i="20"/>
  <c r="H41" i="22"/>
  <c r="J41" i="22"/>
  <c r="J18" i="22"/>
  <c r="H18" i="22"/>
  <c r="J50" i="22"/>
  <c r="H50" i="22"/>
  <c r="J17" i="22"/>
  <c r="H17" i="22"/>
  <c r="J16" i="22"/>
  <c r="H16" i="22"/>
  <c r="F36" i="22"/>
  <c r="Z30" i="22" s="1"/>
  <c r="H15" i="22"/>
  <c r="J15" i="22"/>
  <c r="H97" i="22"/>
  <c r="J97" i="22"/>
  <c r="J48" i="22"/>
  <c r="H48" i="22"/>
  <c r="F94" i="22"/>
  <c r="F98" i="22" s="1"/>
  <c r="H101" i="30" s="1"/>
  <c r="J101" i="30" s="1"/>
  <c r="H88" i="22"/>
  <c r="J88" i="22"/>
  <c r="H10" i="22"/>
  <c r="H11" i="22" s="1"/>
  <c r="H24" i="32"/>
  <c r="F24" i="29"/>
  <c r="J25" i="29"/>
  <c r="J26" i="29" s="1"/>
  <c r="H25" i="29"/>
  <c r="J40" i="22"/>
  <c r="H40" i="22"/>
  <c r="H39" i="22"/>
  <c r="J39" i="22"/>
  <c r="H10" i="33"/>
  <c r="H11" i="33" s="1"/>
  <c r="F50" i="25"/>
  <c r="Z35" i="25" s="1"/>
  <c r="H27" i="32"/>
  <c r="J27" i="32"/>
  <c r="J28" i="32" s="1"/>
  <c r="H10" i="32"/>
  <c r="H11" i="32" s="1"/>
  <c r="J10" i="32"/>
  <c r="J11" i="32" s="1"/>
  <c r="H27" i="33"/>
  <c r="J27" i="33"/>
  <c r="J28" i="33" s="1"/>
  <c r="H26" i="34"/>
  <c r="H10" i="34"/>
  <c r="H11" i="34" s="1"/>
  <c r="J10" i="34"/>
  <c r="J11" i="34" s="1"/>
  <c r="F11" i="34"/>
  <c r="J27" i="34"/>
  <c r="H27" i="34"/>
  <c r="Z38" i="22"/>
  <c r="H53" i="22"/>
  <c r="H26" i="33"/>
  <c r="J51" i="25"/>
  <c r="J52" i="25" s="1"/>
  <c r="H51" i="25"/>
  <c r="H10" i="29"/>
  <c r="H11" i="29" s="1"/>
  <c r="J11" i="29"/>
  <c r="F11" i="29"/>
  <c r="H26" i="32"/>
  <c r="H10" i="25"/>
  <c r="H11" i="25" s="1"/>
  <c r="J10" i="25"/>
  <c r="J11" i="25" s="1"/>
  <c r="F100" i="30"/>
  <c r="F24" i="34"/>
  <c r="F28" i="33"/>
  <c r="J11" i="28"/>
  <c r="F11" i="28"/>
  <c r="F11" i="25"/>
  <c r="F11" i="32"/>
  <c r="F28" i="32"/>
  <c r="DF15" i="4"/>
  <c r="J11" i="33"/>
  <c r="F11" i="33"/>
  <c r="F411" i="22"/>
  <c r="J411" i="22" s="1"/>
  <c r="J417" i="22" s="1"/>
  <c r="F49" i="22" s="1"/>
  <c r="D412" i="22"/>
  <c r="DK21" i="4"/>
  <c r="CO21" i="4"/>
  <c r="CC18" i="4"/>
  <c r="CY18" i="4"/>
  <c r="AV17" i="4"/>
  <c r="BR17" i="4"/>
  <c r="DJ17" i="4"/>
  <c r="CN17" i="4"/>
  <c r="CY21" i="4"/>
  <c r="CC21" i="4"/>
  <c r="CA19" i="4"/>
  <c r="CW19" i="4"/>
  <c r="AK17" i="4"/>
  <c r="CY17" i="4"/>
  <c r="CC17" i="4"/>
  <c r="BG17" i="4"/>
  <c r="CK15" i="4"/>
  <c r="AS15" i="4"/>
  <c r="DG15" i="4"/>
  <c r="BO15" i="4"/>
  <c r="DJ21" i="4"/>
  <c r="CN21" i="4"/>
  <c r="DL18" i="4"/>
  <c r="CP18" i="4"/>
  <c r="AZ16" i="4"/>
  <c r="DN16" i="4"/>
  <c r="BV16" i="4"/>
  <c r="CR16" i="4"/>
  <c r="BD14" i="4"/>
  <c r="BZ14" i="4"/>
  <c r="CV14" i="4"/>
  <c r="BR15" i="4"/>
  <c r="DJ15" i="4"/>
  <c r="CN15" i="4"/>
  <c r="AV15" i="4"/>
  <c r="CQ21" i="4"/>
  <c r="DM21" i="4"/>
  <c r="DO18" i="4"/>
  <c r="CS18" i="4"/>
  <c r="CV16" i="4"/>
  <c r="DR16" i="4"/>
  <c r="BD16" i="4"/>
  <c r="BZ16" i="4"/>
  <c r="AI14" i="4"/>
  <c r="CA14" i="4"/>
  <c r="CW14" i="4"/>
  <c r="BE14" i="4"/>
  <c r="AS17" i="4"/>
  <c r="BO17" i="4"/>
  <c r="CK17" i="4"/>
  <c r="DG17" i="4"/>
  <c r="DI14" i="4"/>
  <c r="BQ14" i="4"/>
  <c r="CM14" i="4"/>
  <c r="AU14" i="4"/>
  <c r="CP21" i="4"/>
  <c r="DL21" i="4"/>
  <c r="DN18" i="4"/>
  <c r="CR18" i="4"/>
  <c r="BY16" i="4"/>
  <c r="DQ16" i="4"/>
  <c r="CU16" i="4"/>
  <c r="BC16" i="4"/>
  <c r="BR14" i="4"/>
  <c r="DJ14" i="4"/>
  <c r="AV14" i="4"/>
  <c r="CN14" i="4"/>
  <c r="CX15" i="4"/>
  <c r="AJ15" i="4"/>
  <c r="CB15" i="4"/>
  <c r="BF15" i="4"/>
  <c r="DH14" i="4"/>
  <c r="BP14" i="4"/>
  <c r="AT14" i="4"/>
  <c r="CL14" i="4"/>
  <c r="CW18" i="4"/>
  <c r="CA18" i="4"/>
  <c r="DK18" i="4"/>
  <c r="CL15" i="4"/>
  <c r="AT15" i="4"/>
  <c r="BP15" i="4"/>
  <c r="DH15" i="4"/>
  <c r="CX19" i="4"/>
  <c r="CB19" i="4"/>
  <c r="CV18" i="4"/>
  <c r="DR18" i="4"/>
  <c r="CL17" i="4"/>
  <c r="DH17" i="4"/>
  <c r="AT17" i="4"/>
  <c r="BP17" i="4"/>
  <c r="CB14" i="4"/>
  <c r="BF14" i="4"/>
  <c r="CX14" i="4"/>
  <c r="AJ14" i="4"/>
  <c r="BE15" i="4"/>
  <c r="CA15" i="4"/>
  <c r="CW15" i="4"/>
  <c r="AI15" i="4"/>
  <c r="DF21" i="4"/>
  <c r="CJ21" i="4"/>
  <c r="CL18" i="4"/>
  <c r="DH18" i="4"/>
  <c r="AV16" i="4"/>
  <c r="DJ16" i="4"/>
  <c r="CN16" i="4"/>
  <c r="BR16" i="4"/>
  <c r="DM14" i="4"/>
  <c r="AY14" i="4"/>
  <c r="BU14" i="4"/>
  <c r="CQ14" i="4"/>
  <c r="BZ17" i="4"/>
  <c r="BD17" i="4"/>
  <c r="DR17" i="4"/>
  <c r="CV17" i="4"/>
  <c r="BU16" i="4"/>
  <c r="DM16" i="4"/>
  <c r="AY16" i="4"/>
  <c r="CQ16" i="4"/>
  <c r="BY14" i="4"/>
  <c r="CU14" i="4"/>
  <c r="DQ14" i="4"/>
  <c r="BC14" i="4"/>
  <c r="AI17" i="4"/>
  <c r="CW17" i="4"/>
  <c r="BE17" i="4"/>
  <c r="CA17" i="4"/>
  <c r="CY15" i="4"/>
  <c r="AK15" i="4"/>
  <c r="CC15" i="4"/>
  <c r="BG15" i="4"/>
  <c r="DH21" i="4"/>
  <c r="CL21" i="4"/>
  <c r="CN18" i="4"/>
  <c r="DJ18" i="4"/>
  <c r="DL16" i="4"/>
  <c r="AX16" i="4"/>
  <c r="BT16" i="4"/>
  <c r="CP16" i="4"/>
  <c r="BW14" i="4"/>
  <c r="CS14" i="4"/>
  <c r="BA14" i="4"/>
  <c r="DO14" i="4"/>
  <c r="BY15" i="4"/>
  <c r="BC15" i="4"/>
  <c r="DQ15" i="4"/>
  <c r="CU15" i="4"/>
  <c r="BW16" i="4"/>
  <c r="CS16" i="4"/>
  <c r="BA16" i="4"/>
  <c r="DO16" i="4"/>
  <c r="AS16" i="4"/>
  <c r="CK16" i="4"/>
  <c r="DG16" i="4"/>
  <c r="BO16" i="4"/>
  <c r="CA21" i="4"/>
  <c r="CW21" i="4"/>
  <c r="DO21" i="4"/>
  <c r="CS21" i="4"/>
  <c r="CK18" i="4"/>
  <c r="DG18" i="4"/>
  <c r="CX18" i="4"/>
  <c r="CB18" i="4"/>
  <c r="CJ16" i="4"/>
  <c r="BN16" i="4"/>
  <c r="DF16" i="4"/>
  <c r="AR16" i="4"/>
  <c r="DI21" i="4"/>
  <c r="CM21" i="4"/>
  <c r="AY17" i="4"/>
  <c r="CQ17" i="4"/>
  <c r="BU17" i="4"/>
  <c r="DM17" i="4"/>
  <c r="CS15" i="4"/>
  <c r="BW15" i="4"/>
  <c r="BA15" i="4"/>
  <c r="DO15" i="4"/>
  <c r="DI15" i="4"/>
  <c r="AU15" i="4"/>
  <c r="BQ15" i="4"/>
  <c r="CM15" i="4"/>
  <c r="CP14" i="4"/>
  <c r="BT14" i="4"/>
  <c r="AX14" i="4"/>
  <c r="DL14" i="4"/>
  <c r="CU17" i="4"/>
  <c r="BC17" i="4"/>
  <c r="DQ17" i="4"/>
  <c r="BY17" i="4"/>
  <c r="CX21" i="4"/>
  <c r="CB21" i="4"/>
  <c r="CJ18" i="4"/>
  <c r="DF18" i="4"/>
  <c r="CL16" i="4"/>
  <c r="AT16" i="4"/>
  <c r="BP16" i="4"/>
  <c r="DH16" i="4"/>
  <c r="CO14" i="4"/>
  <c r="BS14" i="4"/>
  <c r="AW14" i="4"/>
  <c r="DK14" i="4"/>
  <c r="CS17" i="4"/>
  <c r="BW17" i="4"/>
  <c r="DO17" i="4"/>
  <c r="BA17" i="4"/>
  <c r="DR15" i="4"/>
  <c r="BZ15" i="4"/>
  <c r="CV15" i="4"/>
  <c r="BD15" i="4"/>
  <c r="DN17" i="4"/>
  <c r="AZ17" i="4"/>
  <c r="BV17" i="4"/>
  <c r="CR17" i="4"/>
  <c r="CK21" i="4"/>
  <c r="DG21" i="4"/>
  <c r="DK16" i="4"/>
  <c r="AW16" i="4"/>
  <c r="BS16" i="4"/>
  <c r="CO16" i="4"/>
  <c r="CC16" i="4"/>
  <c r="AK16" i="4"/>
  <c r="BG16" i="4"/>
  <c r="CQ18" i="4"/>
  <c r="DM18" i="4"/>
  <c r="BN17" i="4"/>
  <c r="CJ17" i="4"/>
  <c r="DF17" i="4"/>
  <c r="AR17" i="4"/>
  <c r="AX15" i="4"/>
  <c r="DL15" i="4"/>
  <c r="BT15" i="4"/>
  <c r="CP15" i="4"/>
  <c r="AK14" i="4"/>
  <c r="BG14" i="4"/>
  <c r="CC14" i="4"/>
  <c r="CY14" i="4"/>
  <c r="DI16" i="4"/>
  <c r="BQ16" i="4"/>
  <c r="AU16" i="4"/>
  <c r="CM16" i="4"/>
  <c r="AW15" i="4"/>
  <c r="CO15" i="4"/>
  <c r="BS15" i="4"/>
  <c r="DK15" i="4"/>
  <c r="CR21" i="4"/>
  <c r="DN21" i="4"/>
  <c r="DQ18" i="4"/>
  <c r="CU18" i="4"/>
  <c r="DL17" i="4"/>
  <c r="AX17" i="4"/>
  <c r="CP17" i="4"/>
  <c r="BT17" i="4"/>
  <c r="CR15" i="4"/>
  <c r="AZ15" i="4"/>
  <c r="DN15" i="4"/>
  <c r="BV15" i="4"/>
  <c r="DR21" i="4"/>
  <c r="CV21" i="4"/>
  <c r="CX16" i="4"/>
  <c r="CB16" i="4"/>
  <c r="BF16" i="4"/>
  <c r="AJ16" i="4"/>
  <c r="DG14" i="4"/>
  <c r="BO14" i="4"/>
  <c r="CK14" i="4"/>
  <c r="AS14" i="4"/>
  <c r="DI18" i="4"/>
  <c r="CM18" i="4"/>
  <c r="DK17" i="4"/>
  <c r="BS17" i="4"/>
  <c r="CO17" i="4"/>
  <c r="AW17" i="4"/>
  <c r="AY15" i="4"/>
  <c r="CQ15" i="4"/>
  <c r="BU15" i="4"/>
  <c r="DM15" i="4"/>
  <c r="DQ21" i="4"/>
  <c r="CU21" i="4"/>
  <c r="CJ14" i="4"/>
  <c r="DF14" i="4"/>
  <c r="AR14" i="4"/>
  <c r="BN14" i="4"/>
  <c r="AU17" i="4"/>
  <c r="CM17" i="4"/>
  <c r="DI17" i="4"/>
  <c r="BQ17" i="4"/>
  <c r="AJ17" i="4"/>
  <c r="BF17" i="4"/>
  <c r="CX17" i="4"/>
  <c r="CB17" i="4"/>
  <c r="DR14" i="4"/>
  <c r="CY16" i="4"/>
  <c r="BV14" i="4"/>
  <c r="AZ14" i="4"/>
  <c r="DN14" i="4"/>
  <c r="AI16" i="4"/>
  <c r="CW16" i="4"/>
  <c r="BE16" i="4"/>
  <c r="CJ15" i="4"/>
  <c r="AR15" i="4"/>
  <c r="F353" i="22"/>
  <c r="J353" i="22" s="1"/>
  <c r="J359" i="22" s="1"/>
  <c r="F42" i="22" s="1"/>
  <c r="AH58" i="4"/>
  <c r="AH75" i="4"/>
  <c r="AH29" i="4"/>
  <c r="AH17" i="4"/>
  <c r="AH45" i="4"/>
  <c r="AH35" i="4"/>
  <c r="AH41" i="4"/>
  <c r="AH28" i="4"/>
  <c r="AH40" i="4"/>
  <c r="AH67" i="4"/>
  <c r="AH19" i="4"/>
  <c r="AH16" i="4"/>
  <c r="AH15" i="4"/>
  <c r="AH21" i="4"/>
  <c r="AH32" i="4"/>
  <c r="AH18" i="4"/>
  <c r="AH50" i="4"/>
  <c r="AH49" i="4"/>
  <c r="AH44" i="4"/>
  <c r="AH43" i="4"/>
  <c r="AH46" i="4"/>
  <c r="AH42" i="4"/>
  <c r="AH33" i="4"/>
  <c r="AH57" i="4"/>
  <c r="AH14" i="4"/>
  <c r="AH30" i="4"/>
  <c r="AH34" i="4"/>
  <c r="AH31" i="4"/>
  <c r="AH61" i="4"/>
  <c r="AH69" i="4"/>
  <c r="AH66" i="4"/>
  <c r="AH65" i="4"/>
  <c r="AH64" i="4"/>
  <c r="AH63" i="4"/>
  <c r="AH79" i="4"/>
  <c r="AH62" i="4"/>
  <c r="AH60" i="4"/>
  <c r="AH59" i="4"/>
  <c r="AH74" i="4"/>
  <c r="AH73" i="4"/>
  <c r="AH70" i="4"/>
  <c r="F43" i="20"/>
  <c r="F151" i="22"/>
  <c r="J151" i="22" s="1"/>
  <c r="D152" i="22"/>
  <c r="J32" i="30"/>
  <c r="J97" i="30"/>
  <c r="J99" i="30"/>
  <c r="F149" i="30"/>
  <c r="F153" i="30"/>
  <c r="F107" i="30"/>
  <c r="F151" i="30"/>
  <c r="F158" i="30"/>
  <c r="J108" i="30"/>
  <c r="F32" i="30"/>
  <c r="J42" i="20"/>
  <c r="F42" i="20" s="1"/>
  <c r="J11" i="22"/>
  <c r="F11" i="22"/>
  <c r="J240" i="20"/>
  <c r="F30" i="20" s="1"/>
  <c r="AC30" i="20" s="1"/>
  <c r="H28" i="45" l="1"/>
  <c r="F44" i="30"/>
  <c r="F43" i="30"/>
  <c r="J42" i="30"/>
  <c r="F67" i="30"/>
  <c r="F66" i="30"/>
  <c r="J41" i="30"/>
  <c r="H26" i="39"/>
  <c r="AC29" i="39"/>
  <c r="F26" i="39"/>
  <c r="H39" i="30"/>
  <c r="J39" i="30" s="1"/>
  <c r="H100" i="30"/>
  <c r="J100" i="30" s="1"/>
  <c r="F125" i="30"/>
  <c r="H48" i="30"/>
  <c r="H38" i="30"/>
  <c r="J38" i="30" s="1"/>
  <c r="H107" i="30"/>
  <c r="J107" i="30" s="1"/>
  <c r="F132" i="30"/>
  <c r="H28" i="24"/>
  <c r="J28" i="24"/>
  <c r="H43" i="21"/>
  <c r="F24" i="37"/>
  <c r="F26" i="37" s="1"/>
  <c r="J26" i="37"/>
  <c r="Z36" i="22"/>
  <c r="H42" i="22"/>
  <c r="J42" i="22"/>
  <c r="F150" i="30"/>
  <c r="H55" i="26"/>
  <c r="Z38" i="26"/>
  <c r="F55" i="26"/>
  <c r="H24" i="29"/>
  <c r="AC29" i="29"/>
  <c r="F26" i="36"/>
  <c r="H55" i="30" s="1"/>
  <c r="J55" i="30" s="1"/>
  <c r="F26" i="35"/>
  <c r="H54" i="30" s="1"/>
  <c r="J54" i="30" s="1"/>
  <c r="H42" i="20"/>
  <c r="AC33" i="20"/>
  <c r="H43" i="20"/>
  <c r="AC34" i="20"/>
  <c r="F29" i="23"/>
  <c r="AC34" i="23"/>
  <c r="J49" i="30"/>
  <c r="H29" i="23"/>
  <c r="H30" i="20"/>
  <c r="J30" i="20"/>
  <c r="H31" i="20"/>
  <c r="J31" i="20"/>
  <c r="H38" i="20"/>
  <c r="H40" i="20" s="1"/>
  <c r="J38" i="20"/>
  <c r="J40" i="20" s="1"/>
  <c r="H49" i="22"/>
  <c r="J49" i="22"/>
  <c r="J51" i="22" s="1"/>
  <c r="Z44" i="22"/>
  <c r="J94" i="22"/>
  <c r="J98" i="22" s="1"/>
  <c r="H94" i="22"/>
  <c r="H98" i="22" s="1"/>
  <c r="H36" i="22"/>
  <c r="J36" i="22"/>
  <c r="F52" i="25"/>
  <c r="H50" i="25"/>
  <c r="H52" i="25" s="1"/>
  <c r="J54" i="22"/>
  <c r="H54" i="22"/>
  <c r="F26" i="29"/>
  <c r="H53" i="30" s="1"/>
  <c r="J53" i="30" s="1"/>
  <c r="J34" i="30"/>
  <c r="H28" i="32"/>
  <c r="H26" i="28"/>
  <c r="H28" i="33"/>
  <c r="H28" i="34"/>
  <c r="F28" i="34"/>
  <c r="J28" i="34"/>
  <c r="F51" i="22"/>
  <c r="J43" i="20"/>
  <c r="F44" i="22"/>
  <c r="J157" i="22"/>
  <c r="H32" i="30"/>
  <c r="F157" i="30"/>
  <c r="F40" i="20"/>
  <c r="F91" i="30" l="1"/>
  <c r="F92" i="30"/>
  <c r="F68" i="30"/>
  <c r="J43" i="30"/>
  <c r="F69" i="30"/>
  <c r="J44" i="30"/>
  <c r="H56" i="30"/>
  <c r="J56" i="30" s="1"/>
  <c r="H50" i="30"/>
  <c r="H37" i="30"/>
  <c r="J37" i="30" s="1"/>
  <c r="H52" i="30"/>
  <c r="J52" i="30" s="1"/>
  <c r="H47" i="30"/>
  <c r="J44" i="22"/>
  <c r="H44" i="22"/>
  <c r="H26" i="35"/>
  <c r="H26" i="36"/>
  <c r="F19" i="22"/>
  <c r="H26" i="29"/>
  <c r="H51" i="22"/>
  <c r="F142" i="30" l="1"/>
  <c r="F117" i="30"/>
  <c r="J92" i="30"/>
  <c r="F93" i="30"/>
  <c r="F141" i="30"/>
  <c r="J91" i="30"/>
  <c r="F116" i="30"/>
  <c r="F94" i="30"/>
  <c r="H19" i="22"/>
  <c r="H21" i="22" s="1"/>
  <c r="H55" i="22" s="1"/>
  <c r="J19" i="22"/>
  <c r="J21" i="22" s="1"/>
  <c r="J55" i="22" s="1"/>
  <c r="F21" i="22"/>
  <c r="F55" i="22" s="1"/>
  <c r="J47" i="30"/>
  <c r="J48" i="30"/>
  <c r="J50" i="30"/>
  <c r="F144" i="30" l="1"/>
  <c r="J94" i="30"/>
  <c r="F119" i="30"/>
  <c r="J119" i="30" s="1"/>
  <c r="F143" i="30"/>
  <c r="J93" i="30"/>
  <c r="F118" i="30"/>
  <c r="H51" i="30"/>
  <c r="J51" i="30" s="1"/>
  <c r="L153" i="20"/>
  <c r="L155" i="20"/>
  <c r="L156" i="20"/>
  <c r="L157" i="20"/>
  <c r="L158" i="20"/>
  <c r="L160" i="20"/>
  <c r="L161" i="20"/>
  <c r="L162" i="20"/>
  <c r="L163" i="20"/>
  <c r="L165" i="20"/>
  <c r="L166" i="20"/>
  <c r="L167" i="20"/>
  <c r="L168" i="20"/>
  <c r="L169" i="20"/>
  <c r="L170" i="20"/>
  <c r="L171" i="20"/>
  <c r="L152" i="20"/>
  <c r="H153" i="20"/>
  <c r="H155" i="20"/>
  <c r="H156" i="20"/>
  <c r="H157" i="20"/>
  <c r="H158" i="20"/>
  <c r="H161" i="20"/>
  <c r="H162" i="20"/>
  <c r="H163" i="20"/>
  <c r="H165" i="20"/>
  <c r="H166" i="20"/>
  <c r="H167" i="20"/>
  <c r="H168" i="20"/>
  <c r="H169" i="20"/>
  <c r="H170" i="20"/>
  <c r="H171" i="20"/>
  <c r="H152" i="20"/>
  <c r="F21" i="20"/>
  <c r="J231" i="20"/>
  <c r="J230" i="20"/>
  <c r="J229" i="20"/>
  <c r="J221" i="20"/>
  <c r="J116" i="20"/>
  <c r="J117" i="20"/>
  <c r="J115" i="20"/>
  <c r="J179" i="20"/>
  <c r="J180" i="20"/>
  <c r="J181" i="20"/>
  <c r="J182" i="20"/>
  <c r="J183" i="20"/>
  <c r="J178" i="20"/>
  <c r="J106" i="20"/>
  <c r="J107" i="20"/>
  <c r="J108" i="20"/>
  <c r="J105" i="20"/>
  <c r="J95" i="20"/>
  <c r="J96" i="20"/>
  <c r="J98" i="20"/>
  <c r="J94" i="20"/>
  <c r="H21" i="20" l="1"/>
  <c r="J21" i="20"/>
  <c r="F77" i="20"/>
  <c r="D137" i="20"/>
  <c r="J232" i="20"/>
  <c r="J224" i="20"/>
  <c r="F28" i="20" s="1"/>
  <c r="AC28" i="20" s="1"/>
  <c r="AC26" i="20"/>
  <c r="J184" i="20"/>
  <c r="F25" i="20" s="1"/>
  <c r="AC25" i="20" s="1"/>
  <c r="J124" i="20"/>
  <c r="F18" i="20" s="1"/>
  <c r="J109" i="20"/>
  <c r="F17" i="20" s="1"/>
  <c r="J100" i="20"/>
  <c r="F16" i="20" s="1"/>
  <c r="I66" i="4"/>
  <c r="AQ66" i="4" l="1"/>
  <c r="BK66" i="4"/>
  <c r="AN66" i="4"/>
  <c r="BI66" i="4"/>
  <c r="AO66" i="4"/>
  <c r="BM66" i="4"/>
  <c r="BJ66" i="4"/>
  <c r="BL66" i="4"/>
  <c r="AP66" i="4"/>
  <c r="AM66" i="4"/>
  <c r="DD66" i="4"/>
  <c r="CE66" i="4"/>
  <c r="CI66" i="4"/>
  <c r="DA66" i="4"/>
  <c r="DE66" i="4"/>
  <c r="CF66" i="4"/>
  <c r="DB66" i="4"/>
  <c r="CG66" i="4"/>
  <c r="DC66" i="4"/>
  <c r="CH66" i="4"/>
  <c r="DE65" i="4"/>
  <c r="CF65" i="4"/>
  <c r="DA65" i="4"/>
  <c r="CG65" i="4"/>
  <c r="DC65" i="4"/>
  <c r="CH65" i="4"/>
  <c r="DD65" i="4"/>
  <c r="CE65" i="4"/>
  <c r="CI65" i="4"/>
  <c r="DB65" i="4"/>
  <c r="AM65" i="4"/>
  <c r="AO65" i="4"/>
  <c r="BL65" i="4"/>
  <c r="AQ65" i="4"/>
  <c r="BM65" i="4"/>
  <c r="BJ65" i="4"/>
  <c r="AN65" i="4"/>
  <c r="AP65" i="4"/>
  <c r="BK65" i="4"/>
  <c r="BI65" i="4"/>
  <c r="CZ66" i="4"/>
  <c r="DP66" i="4"/>
  <c r="CZ65" i="4"/>
  <c r="DP65" i="4"/>
  <c r="CD66" i="4"/>
  <c r="CT66" i="4"/>
  <c r="CD65" i="4"/>
  <c r="CT65" i="4"/>
  <c r="BH66" i="4"/>
  <c r="BX66" i="4"/>
  <c r="BH65" i="4"/>
  <c r="BX65" i="4"/>
  <c r="AL66" i="4"/>
  <c r="BB66" i="4"/>
  <c r="AL65" i="4"/>
  <c r="BB65" i="4"/>
  <c r="H25" i="20"/>
  <c r="J25" i="20"/>
  <c r="H17" i="20"/>
  <c r="J17" i="20"/>
  <c r="H26" i="20"/>
  <c r="J26" i="20"/>
  <c r="H18" i="20"/>
  <c r="J18" i="20"/>
  <c r="H16" i="20"/>
  <c r="J16" i="20"/>
  <c r="H28" i="20"/>
  <c r="J28" i="20"/>
  <c r="F29" i="20"/>
  <c r="AC29" i="20" s="1"/>
  <c r="BZ65" i="4"/>
  <c r="BY65" i="4"/>
  <c r="BW65" i="4"/>
  <c r="BV65" i="4"/>
  <c r="BU65" i="4"/>
  <c r="BT65" i="4"/>
  <c r="BS65" i="4"/>
  <c r="BR65" i="4"/>
  <c r="BQ65" i="4"/>
  <c r="BP65" i="4"/>
  <c r="BO65" i="4"/>
  <c r="BN65" i="4"/>
  <c r="BG65" i="4"/>
  <c r="BF65" i="4"/>
  <c r="BE65" i="4"/>
  <c r="DR65" i="4"/>
  <c r="DQ65" i="4"/>
  <c r="DO65" i="4"/>
  <c r="DN65" i="4"/>
  <c r="DM65" i="4"/>
  <c r="DL65" i="4"/>
  <c r="DK65" i="4"/>
  <c r="DJ65" i="4"/>
  <c r="DR66" i="4"/>
  <c r="DQ66" i="4"/>
  <c r="DO66" i="4"/>
  <c r="DN66" i="4"/>
  <c r="DM66" i="4"/>
  <c r="DL66" i="4"/>
  <c r="DK66" i="4"/>
  <c r="DJ66" i="4"/>
  <c r="BZ66" i="4"/>
  <c r="BY66" i="4"/>
  <c r="BW66" i="4"/>
  <c r="BV66" i="4"/>
  <c r="BU66" i="4"/>
  <c r="BT66" i="4"/>
  <c r="BS66" i="4"/>
  <c r="BR66" i="4"/>
  <c r="BQ66" i="4"/>
  <c r="BP66" i="4"/>
  <c r="BO66" i="4"/>
  <c r="BN66" i="4"/>
  <c r="BG66" i="4"/>
  <c r="BF66" i="4"/>
  <c r="BE66" i="4"/>
  <c r="DI65" i="4"/>
  <c r="DH65" i="4"/>
  <c r="DG65" i="4"/>
  <c r="DF65" i="4"/>
  <c r="CX65" i="4"/>
  <c r="CW65" i="4"/>
  <c r="CY65" i="4"/>
  <c r="DI66" i="4"/>
  <c r="DH66" i="4"/>
  <c r="DG66" i="4"/>
  <c r="DF66" i="4"/>
  <c r="CX66" i="4"/>
  <c r="CW66" i="4"/>
  <c r="CY66" i="4"/>
  <c r="CV65" i="4"/>
  <c r="CU65" i="4"/>
  <c r="CQ65" i="4"/>
  <c r="CO65" i="4"/>
  <c r="CM65" i="4"/>
  <c r="CC65" i="4"/>
  <c r="CL65" i="4"/>
  <c r="CB65" i="4"/>
  <c r="CS65" i="4"/>
  <c r="CP65" i="4"/>
  <c r="CK65" i="4"/>
  <c r="CA65" i="4"/>
  <c r="CN65" i="4"/>
  <c r="CJ65" i="4"/>
  <c r="CR65" i="4"/>
  <c r="CQ66" i="4"/>
  <c r="CP66" i="4"/>
  <c r="CO66" i="4"/>
  <c r="CN66" i="4"/>
  <c r="CM66" i="4"/>
  <c r="CL66" i="4"/>
  <c r="CK66" i="4"/>
  <c r="CJ66" i="4"/>
  <c r="CC66" i="4"/>
  <c r="CB66" i="4"/>
  <c r="CA66" i="4"/>
  <c r="CR66" i="4"/>
  <c r="CV66" i="4"/>
  <c r="CU66" i="4"/>
  <c r="CS66" i="4"/>
  <c r="AV65" i="4"/>
  <c r="BD65" i="4"/>
  <c r="AY65" i="4"/>
  <c r="BC65" i="4"/>
  <c r="AX65" i="4"/>
  <c r="BA65" i="4"/>
  <c r="AW65" i="4"/>
  <c r="AZ65" i="4"/>
  <c r="AV66" i="4"/>
  <c r="AZ66" i="4"/>
  <c r="BD66" i="4"/>
  <c r="AY66" i="4"/>
  <c r="BC66" i="4"/>
  <c r="AX66" i="4"/>
  <c r="BA66" i="4"/>
  <c r="AW66" i="4"/>
  <c r="AS66" i="4"/>
  <c r="AR66" i="4"/>
  <c r="AU66" i="4"/>
  <c r="AK66" i="4"/>
  <c r="AI66" i="4"/>
  <c r="AT66" i="4"/>
  <c r="AJ66" i="4"/>
  <c r="AS65" i="4"/>
  <c r="AR65" i="4"/>
  <c r="AU65" i="4"/>
  <c r="AK65" i="4"/>
  <c r="AI65" i="4"/>
  <c r="AT65" i="4"/>
  <c r="AJ65" i="4"/>
  <c r="J137" i="20"/>
  <c r="D138" i="20"/>
  <c r="J138" i="20" s="1"/>
  <c r="F33" i="20" l="1"/>
  <c r="H77" i="20"/>
  <c r="H84" i="20" s="1"/>
  <c r="J77" i="20"/>
  <c r="J84" i="20" s="1"/>
  <c r="F84" i="20"/>
  <c r="H29" i="20"/>
  <c r="J29" i="20"/>
  <c r="J33" i="20" s="1"/>
  <c r="J142" i="20"/>
  <c r="H96" i="30" l="1"/>
  <c r="J96" i="30" s="1"/>
  <c r="AC39" i="20"/>
  <c r="H33" i="20"/>
  <c r="F20" i="20"/>
  <c r="DR46" i="4"/>
  <c r="DM46" i="4"/>
  <c r="DQ46" i="4"/>
  <c r="DL46" i="4"/>
  <c r="DO46" i="4"/>
  <c r="DK46" i="4"/>
  <c r="DN46" i="4"/>
  <c r="DJ46" i="4"/>
  <c r="DF46" i="4"/>
  <c r="DI46" i="4"/>
  <c r="CY46" i="4"/>
  <c r="DH46" i="4"/>
  <c r="CR46" i="4"/>
  <c r="CN46" i="4"/>
  <c r="CJ46" i="4"/>
  <c r="CX46" i="4"/>
  <c r="DG46" i="4"/>
  <c r="CW46" i="4"/>
  <c r="CQ46" i="4"/>
  <c r="CU46" i="4"/>
  <c r="CO46" i="4"/>
  <c r="CM46" i="4"/>
  <c r="CB46" i="4"/>
  <c r="CL46" i="4"/>
  <c r="CA46" i="4"/>
  <c r="CV46" i="4"/>
  <c r="CS46" i="4"/>
  <c r="CP46" i="4"/>
  <c r="CK46" i="4"/>
  <c r="CC46" i="4"/>
  <c r="H20" i="20" l="1"/>
  <c r="H22" i="20" s="1"/>
  <c r="H44" i="20" s="1"/>
  <c r="J20" i="20"/>
  <c r="J22" i="20" s="1"/>
  <c r="J44" i="20" s="1"/>
  <c r="F22" i="20"/>
  <c r="F44" i="20" s="1"/>
  <c r="I70" i="4"/>
  <c r="I64" i="4"/>
  <c r="I69" i="4"/>
  <c r="J28" i="4"/>
  <c r="I57" i="4"/>
  <c r="I58" i="4"/>
  <c r="I59" i="4"/>
  <c r="I60" i="4"/>
  <c r="I61" i="4"/>
  <c r="I62" i="4"/>
  <c r="I63" i="4"/>
  <c r="I67" i="4"/>
  <c r="I73" i="4"/>
  <c r="I74" i="4"/>
  <c r="I75" i="4"/>
  <c r="I79" i="4"/>
  <c r="DC73" i="4" l="1"/>
  <c r="DD73" i="4"/>
  <c r="DA73" i="4"/>
  <c r="DE73" i="4"/>
  <c r="DB73" i="4"/>
  <c r="CE73" i="4"/>
  <c r="CI73" i="4"/>
  <c r="CG73" i="4"/>
  <c r="CH73" i="4"/>
  <c r="CF73" i="4"/>
  <c r="BI73" i="4"/>
  <c r="BK73" i="4"/>
  <c r="AN73" i="4"/>
  <c r="BM73" i="4"/>
  <c r="AM73" i="4"/>
  <c r="AO73" i="4"/>
  <c r="AQ73" i="4"/>
  <c r="BJ73" i="4"/>
  <c r="AP73" i="4"/>
  <c r="BL73" i="4"/>
  <c r="DB61" i="4"/>
  <c r="CF61" i="4"/>
  <c r="DC61" i="4"/>
  <c r="CG61" i="4"/>
  <c r="DD61" i="4"/>
  <c r="CH61" i="4"/>
  <c r="DA61" i="4"/>
  <c r="DE61" i="4"/>
  <c r="CE61" i="4"/>
  <c r="CI61" i="4"/>
  <c r="BJ61" i="4"/>
  <c r="BI61" i="4"/>
  <c r="AP61" i="4"/>
  <c r="BK61" i="4"/>
  <c r="AN61" i="4"/>
  <c r="AM61" i="4"/>
  <c r="BM61" i="4"/>
  <c r="BL61" i="4"/>
  <c r="AQ61" i="4"/>
  <c r="AO61" i="4"/>
  <c r="DB57" i="4"/>
  <c r="CF57" i="4"/>
  <c r="DC57" i="4"/>
  <c r="CG57" i="4"/>
  <c r="DD57" i="4"/>
  <c r="CH57" i="4"/>
  <c r="DA57" i="4"/>
  <c r="DE57" i="4"/>
  <c r="CE57" i="4"/>
  <c r="CI57" i="4"/>
  <c r="BL57" i="4"/>
  <c r="AM57" i="4"/>
  <c r="AO57" i="4"/>
  <c r="BJ57" i="4"/>
  <c r="AQ57" i="4"/>
  <c r="AP57" i="4"/>
  <c r="BK57" i="4"/>
  <c r="BM57" i="4"/>
  <c r="BI57" i="4"/>
  <c r="AN57" i="4"/>
  <c r="DD70" i="4"/>
  <c r="CE70" i="4"/>
  <c r="DA70" i="4"/>
  <c r="DE70" i="4"/>
  <c r="CF70" i="4"/>
  <c r="DB70" i="4"/>
  <c r="CG70" i="4"/>
  <c r="DC70" i="4"/>
  <c r="CH70" i="4"/>
  <c r="CI70" i="4"/>
  <c r="CI79" i="4"/>
  <c r="J55" i="41" s="1"/>
  <c r="CE79" i="4"/>
  <c r="J55" i="45" s="1"/>
  <c r="CF79" i="4"/>
  <c r="J55" i="44" s="1"/>
  <c r="CH79" i="4"/>
  <c r="J55" i="42" s="1"/>
  <c r="CG79" i="4"/>
  <c r="J55" i="43" s="1"/>
  <c r="DC67" i="4"/>
  <c r="CH67" i="4"/>
  <c r="DD67" i="4"/>
  <c r="CE67" i="4"/>
  <c r="CI67" i="4"/>
  <c r="DA67" i="4"/>
  <c r="DE67" i="4"/>
  <c r="CF67" i="4"/>
  <c r="DB67" i="4"/>
  <c r="CG67" i="4"/>
  <c r="DC60" i="4"/>
  <c r="CG60" i="4"/>
  <c r="DD60" i="4"/>
  <c r="CH60" i="4"/>
  <c r="DA60" i="4"/>
  <c r="DE60" i="4"/>
  <c r="CE60" i="4"/>
  <c r="CI60" i="4"/>
  <c r="DB60" i="4"/>
  <c r="CF60" i="4"/>
  <c r="BI60" i="4"/>
  <c r="BJ60" i="4"/>
  <c r="AM60" i="4"/>
  <c r="BM60" i="4"/>
  <c r="AN60" i="4"/>
  <c r="AQ60" i="4"/>
  <c r="BK60" i="4"/>
  <c r="AO60" i="4"/>
  <c r="BL60" i="4"/>
  <c r="AP60" i="4"/>
  <c r="DA75" i="4"/>
  <c r="DE75" i="4"/>
  <c r="DB75" i="4"/>
  <c r="DC75" i="4"/>
  <c r="DD75" i="4"/>
  <c r="CG75" i="4"/>
  <c r="CE75" i="4"/>
  <c r="CF75" i="4"/>
  <c r="CH75" i="4"/>
  <c r="CI75" i="4"/>
  <c r="AM75" i="4"/>
  <c r="AO75" i="4"/>
  <c r="BL75" i="4"/>
  <c r="AQ75" i="4"/>
  <c r="BJ75" i="4"/>
  <c r="BK75" i="4"/>
  <c r="AN75" i="4"/>
  <c r="AP75" i="4"/>
  <c r="BM75" i="4"/>
  <c r="BI75" i="4"/>
  <c r="DA63" i="4"/>
  <c r="DE63" i="4"/>
  <c r="CH63" i="4"/>
  <c r="DB63" i="4"/>
  <c r="CE63" i="4"/>
  <c r="CI63" i="4"/>
  <c r="DC63" i="4"/>
  <c r="CF63" i="4"/>
  <c r="DD63" i="4"/>
  <c r="CG63" i="4"/>
  <c r="BM63" i="4"/>
  <c r="AM63" i="4"/>
  <c r="BJ63" i="4"/>
  <c r="BK63" i="4"/>
  <c r="AQ63" i="4"/>
  <c r="BL63" i="4"/>
  <c r="AO63" i="4"/>
  <c r="AN63" i="4"/>
  <c r="BI63" i="4"/>
  <c r="AP63" i="4"/>
  <c r="DD59" i="4"/>
  <c r="CH59" i="4"/>
  <c r="DA59" i="4"/>
  <c r="DE59" i="4"/>
  <c r="CE59" i="4"/>
  <c r="CI59" i="4"/>
  <c r="DB59" i="4"/>
  <c r="CF59" i="4"/>
  <c r="DC59" i="4"/>
  <c r="CG59" i="4"/>
  <c r="BL59" i="4"/>
  <c r="AP59" i="4"/>
  <c r="AN59" i="4"/>
  <c r="BI59" i="4"/>
  <c r="AM59" i="4"/>
  <c r="BM59" i="4"/>
  <c r="AQ59" i="4"/>
  <c r="BJ59" i="4"/>
  <c r="AO59" i="4"/>
  <c r="BK59" i="4"/>
  <c r="DA69" i="4"/>
  <c r="DE69" i="4"/>
  <c r="CF69" i="4"/>
  <c r="DB69" i="4"/>
  <c r="CG69" i="4"/>
  <c r="DC69" i="4"/>
  <c r="CH69" i="4"/>
  <c r="DD69" i="4"/>
  <c r="CE69" i="4"/>
  <c r="CI69" i="4"/>
  <c r="BJ69" i="4"/>
  <c r="AQ69" i="4"/>
  <c r="AP69" i="4"/>
  <c r="BK69" i="4"/>
  <c r="AN69" i="4"/>
  <c r="BM69" i="4"/>
  <c r="AO69" i="4"/>
  <c r="BL69" i="4"/>
  <c r="AM69" i="4"/>
  <c r="BI69" i="4"/>
  <c r="DB74" i="4"/>
  <c r="DC74" i="4"/>
  <c r="DD74" i="4"/>
  <c r="DA74" i="4"/>
  <c r="DE74" i="4"/>
  <c r="CH74" i="4"/>
  <c r="CF74" i="4"/>
  <c r="CG74" i="4"/>
  <c r="CI74" i="4"/>
  <c r="CE74" i="4"/>
  <c r="BI74" i="4"/>
  <c r="AN74" i="4"/>
  <c r="AM74" i="4"/>
  <c r="BM74" i="4"/>
  <c r="BK74" i="4"/>
  <c r="AQ74" i="4"/>
  <c r="BL74" i="4"/>
  <c r="AO74" i="4"/>
  <c r="BJ74" i="4"/>
  <c r="AP74" i="4"/>
  <c r="DA62" i="4"/>
  <c r="CE62" i="4"/>
  <c r="CI62" i="4"/>
  <c r="DB62" i="4"/>
  <c r="CF62" i="4"/>
  <c r="DC62" i="4"/>
  <c r="CG62" i="4"/>
  <c r="DD62" i="4"/>
  <c r="CH62" i="4"/>
  <c r="DE62" i="4"/>
  <c r="BI62" i="4"/>
  <c r="AM62" i="4"/>
  <c r="AO62" i="4"/>
  <c r="BM62" i="4"/>
  <c r="AQ62" i="4"/>
  <c r="BJ62" i="4"/>
  <c r="AN62" i="4"/>
  <c r="BK62" i="4"/>
  <c r="AP62" i="4"/>
  <c r="BL62" i="4"/>
  <c r="DA58" i="4"/>
  <c r="DE58" i="4"/>
  <c r="CE58" i="4"/>
  <c r="CI58" i="4"/>
  <c r="DB58" i="4"/>
  <c r="CF58" i="4"/>
  <c r="DC58" i="4"/>
  <c r="CG58" i="4"/>
  <c r="DD58" i="4"/>
  <c r="CH58" i="4"/>
  <c r="DE64" i="4"/>
  <c r="CG64" i="4"/>
  <c r="DA64" i="4"/>
  <c r="CH64" i="4"/>
  <c r="DB64" i="4"/>
  <c r="CE64" i="4"/>
  <c r="CI64" i="4"/>
  <c r="DD64" i="4"/>
  <c r="CF64" i="4"/>
  <c r="DC64" i="4"/>
  <c r="BG73" i="4"/>
  <c r="AJ73" i="4"/>
  <c r="AK73" i="4"/>
  <c r="BU73" i="4"/>
  <c r="BE73" i="4"/>
  <c r="BS73" i="4"/>
  <c r="BY73" i="4"/>
  <c r="BO73" i="4"/>
  <c r="BX73" i="4"/>
  <c r="BQ73" i="4"/>
  <c r="AZ73" i="4"/>
  <c r="AU73" i="4"/>
  <c r="AT73" i="4"/>
  <c r="AS73" i="4"/>
  <c r="BD73" i="4"/>
  <c r="BA73" i="4"/>
  <c r="BN73" i="4"/>
  <c r="BT73" i="4"/>
  <c r="AX73" i="4"/>
  <c r="BR73" i="4"/>
  <c r="BC73" i="4"/>
  <c r="BF73" i="4"/>
  <c r="BP73" i="4"/>
  <c r="BB73" i="4"/>
  <c r="AL73" i="4"/>
  <c r="BV73" i="4"/>
  <c r="AY73" i="4"/>
  <c r="BZ73" i="4"/>
  <c r="BH73" i="4"/>
  <c r="AI73" i="4"/>
  <c r="AR73" i="4"/>
  <c r="AV73" i="4"/>
  <c r="BW73" i="4"/>
  <c r="AW73" i="4"/>
  <c r="BA61" i="4"/>
  <c r="BU61" i="4"/>
  <c r="BR61" i="4"/>
  <c r="BD61" i="4"/>
  <c r="BW61" i="4"/>
  <c r="AU61" i="4"/>
  <c r="BT61" i="4"/>
  <c r="BZ61" i="4"/>
  <c r="BH61" i="4"/>
  <c r="BG61" i="4"/>
  <c r="AR61" i="4"/>
  <c r="AV61" i="4"/>
  <c r="BE61" i="4"/>
  <c r="BF61" i="4"/>
  <c r="BX61" i="4"/>
  <c r="AL61" i="4"/>
  <c r="BC61" i="4"/>
  <c r="AW61" i="4"/>
  <c r="BN61" i="4"/>
  <c r="BV61" i="4"/>
  <c r="AK61" i="4"/>
  <c r="AX61" i="4"/>
  <c r="BO61" i="4"/>
  <c r="AI61" i="4"/>
  <c r="BB61" i="4"/>
  <c r="BY61" i="4"/>
  <c r="BQ61" i="4"/>
  <c r="AT61" i="4"/>
  <c r="AZ61" i="4"/>
  <c r="AS61" i="4"/>
  <c r="AY61" i="4"/>
  <c r="BS61" i="4"/>
  <c r="AJ61" i="4"/>
  <c r="BP61" i="4"/>
  <c r="BX57" i="4"/>
  <c r="BO57" i="4"/>
  <c r="AJ57" i="4"/>
  <c r="AT57" i="4"/>
  <c r="AX57" i="4"/>
  <c r="BS57" i="4"/>
  <c r="BV57" i="4"/>
  <c r="AK57" i="4"/>
  <c r="BB57" i="4"/>
  <c r="AZ57" i="4"/>
  <c r="BY57" i="4"/>
  <c r="BF57" i="4"/>
  <c r="BE57" i="4"/>
  <c r="BN57" i="4"/>
  <c r="AR57" i="4"/>
  <c r="BR57" i="4"/>
  <c r="AW57" i="4"/>
  <c r="BH57" i="4"/>
  <c r="AL57" i="4"/>
  <c r="BT57" i="4"/>
  <c r="AY57" i="4"/>
  <c r="BD57" i="4"/>
  <c r="BG57" i="4"/>
  <c r="AI57" i="4"/>
  <c r="BQ57" i="4"/>
  <c r="BZ57" i="4"/>
  <c r="BP57" i="4"/>
  <c r="AU57" i="4"/>
  <c r="BA57" i="4"/>
  <c r="BC57" i="4"/>
  <c r="AV57" i="4"/>
  <c r="BW57" i="4"/>
  <c r="BU57" i="4"/>
  <c r="AS57" i="4"/>
  <c r="BB62" i="4"/>
  <c r="AL62" i="4"/>
  <c r="AR62" i="4"/>
  <c r="BA62" i="4"/>
  <c r="AZ62" i="4"/>
  <c r="BF62" i="4"/>
  <c r="BV62" i="4"/>
  <c r="BH62" i="4"/>
  <c r="AS62" i="4"/>
  <c r="AJ62" i="4"/>
  <c r="AX62" i="4"/>
  <c r="AW62" i="4"/>
  <c r="AV62" i="4"/>
  <c r="BN62" i="4"/>
  <c r="BW62" i="4"/>
  <c r="BX62" i="4"/>
  <c r="BZ62" i="4"/>
  <c r="BD62" i="4"/>
  <c r="BR62" i="4"/>
  <c r="AT62" i="4"/>
  <c r="BC62" i="4"/>
  <c r="BO62" i="4"/>
  <c r="BT62" i="4"/>
  <c r="AK62" i="4"/>
  <c r="BS62" i="4"/>
  <c r="BG62" i="4"/>
  <c r="BY62" i="4"/>
  <c r="AI62" i="4"/>
  <c r="BP62" i="4"/>
  <c r="AU62" i="4"/>
  <c r="AY62" i="4"/>
  <c r="BQ62" i="4"/>
  <c r="BE62" i="4"/>
  <c r="BU62" i="4"/>
  <c r="BZ60" i="4"/>
  <c r="BB60" i="4"/>
  <c r="BW60" i="4"/>
  <c r="AJ60" i="4"/>
  <c r="BC60" i="4"/>
  <c r="BP60" i="4"/>
  <c r="BN60" i="4"/>
  <c r="BO60" i="4"/>
  <c r="BX60" i="4"/>
  <c r="BH60" i="4"/>
  <c r="AL60" i="4"/>
  <c r="AT60" i="4"/>
  <c r="BU60" i="4"/>
  <c r="AW60" i="4"/>
  <c r="BY60" i="4"/>
  <c r="AS60" i="4"/>
  <c r="AX60" i="4"/>
  <c r="BR60" i="4"/>
  <c r="BD60" i="4"/>
  <c r="BS60" i="4"/>
  <c r="AU60" i="4"/>
  <c r="AZ60" i="4"/>
  <c r="AY60" i="4"/>
  <c r="BF60" i="4"/>
  <c r="BQ60" i="4"/>
  <c r="BV60" i="4"/>
  <c r="AI60" i="4"/>
  <c r="AV60" i="4"/>
  <c r="BA60" i="4"/>
  <c r="AR60" i="4"/>
  <c r="AK60" i="4"/>
  <c r="BG60" i="4"/>
  <c r="BT60" i="4"/>
  <c r="BE60" i="4"/>
  <c r="AL74" i="4"/>
  <c r="BV74" i="4"/>
  <c r="AI74" i="4"/>
  <c r="AJ74" i="4"/>
  <c r="BF74" i="4"/>
  <c r="AR74" i="4"/>
  <c r="AY74" i="4"/>
  <c r="BD74" i="4"/>
  <c r="AW74" i="4"/>
  <c r="BZ74" i="4"/>
  <c r="BE74" i="4"/>
  <c r="BP74" i="4"/>
  <c r="BB74" i="4"/>
  <c r="AX74" i="4"/>
  <c r="BO74" i="4"/>
  <c r="BY74" i="4"/>
  <c r="BN74" i="4"/>
  <c r="BG74" i="4"/>
  <c r="BQ74" i="4"/>
  <c r="BU74" i="4"/>
  <c r="BX74" i="4"/>
  <c r="BH74" i="4"/>
  <c r="BW74" i="4"/>
  <c r="AV74" i="4"/>
  <c r="BC74" i="4"/>
  <c r="AK74" i="4"/>
  <c r="AS74" i="4"/>
  <c r="AU74" i="4"/>
  <c r="BT74" i="4"/>
  <c r="AZ74" i="4"/>
  <c r="BR74" i="4"/>
  <c r="AT74" i="4"/>
  <c r="BA74" i="4"/>
  <c r="BS74" i="4"/>
  <c r="BX75" i="4"/>
  <c r="BB75" i="4"/>
  <c r="BY75" i="4"/>
  <c r="AJ75" i="4"/>
  <c r="AI75" i="4"/>
  <c r="BA75" i="4"/>
  <c r="AR75" i="4"/>
  <c r="BQ75" i="4"/>
  <c r="BG75" i="4"/>
  <c r="BF75" i="4"/>
  <c r="BH75" i="4"/>
  <c r="AL75" i="4"/>
  <c r="AK75" i="4"/>
  <c r="AT75" i="4"/>
  <c r="BR75" i="4"/>
  <c r="BO75" i="4"/>
  <c r="BP75" i="4"/>
  <c r="BZ75" i="4"/>
  <c r="AW75" i="4"/>
  <c r="BC75" i="4"/>
  <c r="BD75" i="4"/>
  <c r="BE75" i="4"/>
  <c r="BU75" i="4"/>
  <c r="BS75" i="4"/>
  <c r="BT75" i="4"/>
  <c r="AY75" i="4"/>
  <c r="AX75" i="4"/>
  <c r="AV75" i="4"/>
  <c r="AS75" i="4"/>
  <c r="AU75" i="4"/>
  <c r="AZ75" i="4"/>
  <c r="BV75" i="4"/>
  <c r="BN75" i="4"/>
  <c r="BW75" i="4"/>
  <c r="BZ63" i="4"/>
  <c r="BX63" i="4"/>
  <c r="AL63" i="4"/>
  <c r="AR63" i="4"/>
  <c r="AZ63" i="4"/>
  <c r="AT63" i="4"/>
  <c r="AX63" i="4"/>
  <c r="BW63" i="4"/>
  <c r="AV63" i="4"/>
  <c r="BD63" i="4"/>
  <c r="BO63" i="4"/>
  <c r="AS63" i="4"/>
  <c r="AY63" i="4"/>
  <c r="BF63" i="4"/>
  <c r="BP63" i="4"/>
  <c r="BT63" i="4"/>
  <c r="BY63" i="4"/>
  <c r="BR63" i="4"/>
  <c r="BB63" i="4"/>
  <c r="BS63" i="4"/>
  <c r="AK63" i="4"/>
  <c r="AU63" i="4"/>
  <c r="AI63" i="4"/>
  <c r="AW63" i="4"/>
  <c r="BA63" i="4"/>
  <c r="BQ63" i="4"/>
  <c r="BG63" i="4"/>
  <c r="BH63" i="4"/>
  <c r="BV63" i="4"/>
  <c r="AJ63" i="4"/>
  <c r="BC63" i="4"/>
  <c r="BN63" i="4"/>
  <c r="BE63" i="4"/>
  <c r="BU63" i="4"/>
  <c r="BZ59" i="4"/>
  <c r="BB59" i="4"/>
  <c r="AL59" i="4"/>
  <c r="AT59" i="4"/>
  <c r="AV59" i="4"/>
  <c r="AK59" i="4"/>
  <c r="BY59" i="4"/>
  <c r="AR59" i="4"/>
  <c r="AZ59" i="4"/>
  <c r="BW59" i="4"/>
  <c r="BX59" i="4"/>
  <c r="BH59" i="4"/>
  <c r="BE59" i="4"/>
  <c r="BO59" i="4"/>
  <c r="AJ59" i="4"/>
  <c r="BA59" i="4"/>
  <c r="BF59" i="4"/>
  <c r="AX59" i="4"/>
  <c r="AY59" i="4"/>
  <c r="BD59" i="4"/>
  <c r="AI59" i="4"/>
  <c r="AS59" i="4"/>
  <c r="AU59" i="4"/>
  <c r="AW59" i="4"/>
  <c r="BC59" i="4"/>
  <c r="BT59" i="4"/>
  <c r="BU59" i="4"/>
  <c r="BG59" i="4"/>
  <c r="BQ59" i="4"/>
  <c r="BR59" i="4"/>
  <c r="BV59" i="4"/>
  <c r="BP59" i="4"/>
  <c r="BN59" i="4"/>
  <c r="BS59" i="4"/>
  <c r="BZ58" i="4"/>
  <c r="BX58" i="4"/>
  <c r="BD58" i="4"/>
  <c r="AK58" i="4"/>
  <c r="BG58" i="4"/>
  <c r="AL58" i="4"/>
  <c r="BQ58" i="4"/>
  <c r="BA58" i="4"/>
  <c r="AR58" i="4"/>
  <c r="BN58" i="4"/>
  <c r="BF58" i="4"/>
  <c r="BH58" i="4"/>
  <c r="BP58" i="4"/>
  <c r="AX58" i="4"/>
  <c r="BO58" i="4"/>
  <c r="AS58" i="4"/>
  <c r="BS58" i="4"/>
  <c r="AT58" i="4"/>
  <c r="BT58" i="4"/>
  <c r="AW58" i="4"/>
  <c r="BC58" i="4"/>
  <c r="BY58" i="4"/>
  <c r="AY58" i="4"/>
  <c r="BE58" i="4"/>
  <c r="BV58" i="4"/>
  <c r="AZ58" i="4"/>
  <c r="BB58" i="4"/>
  <c r="AU58" i="4"/>
  <c r="BW58" i="4"/>
  <c r="AI58" i="4"/>
  <c r="AJ58" i="4"/>
  <c r="BU58" i="4"/>
  <c r="AV58" i="4"/>
  <c r="BR58" i="4"/>
  <c r="CZ73" i="4"/>
  <c r="DP73" i="4"/>
  <c r="CZ61" i="4"/>
  <c r="DP61" i="4"/>
  <c r="CZ57" i="4"/>
  <c r="DP57" i="4"/>
  <c r="CZ70" i="4"/>
  <c r="DP70" i="4"/>
  <c r="CZ67" i="4"/>
  <c r="DP67" i="4"/>
  <c r="CZ60" i="4"/>
  <c r="DP60" i="4"/>
  <c r="CZ75" i="4"/>
  <c r="DP75" i="4"/>
  <c r="CZ63" i="4"/>
  <c r="DP63" i="4"/>
  <c r="CZ59" i="4"/>
  <c r="DP59" i="4"/>
  <c r="CZ69" i="4"/>
  <c r="DP69" i="4"/>
  <c r="CZ74" i="4"/>
  <c r="DP74" i="4"/>
  <c r="CZ62" i="4"/>
  <c r="DP62" i="4"/>
  <c r="CZ58" i="4"/>
  <c r="DP58" i="4"/>
  <c r="CZ64" i="4"/>
  <c r="DP64" i="4"/>
  <c r="CD73" i="4"/>
  <c r="CT73" i="4"/>
  <c r="CD61" i="4"/>
  <c r="CT61" i="4"/>
  <c r="CD57" i="4"/>
  <c r="CT57" i="4"/>
  <c r="CD70" i="4"/>
  <c r="CT70" i="4"/>
  <c r="CD79" i="4"/>
  <c r="CT79" i="4"/>
  <c r="CD67" i="4"/>
  <c r="CT67" i="4"/>
  <c r="CD60" i="4"/>
  <c r="CT60" i="4"/>
  <c r="CD75" i="4"/>
  <c r="CT75" i="4"/>
  <c r="CD63" i="4"/>
  <c r="CT63" i="4"/>
  <c r="CD59" i="4"/>
  <c r="CT59" i="4"/>
  <c r="CD69" i="4"/>
  <c r="CT69" i="4"/>
  <c r="CD74" i="4"/>
  <c r="CT74" i="4"/>
  <c r="CD62" i="4"/>
  <c r="CT62" i="4"/>
  <c r="CD58" i="4"/>
  <c r="CT58" i="4"/>
  <c r="CD64" i="4"/>
  <c r="CT64" i="4"/>
  <c r="BH79" i="4"/>
  <c r="BX79" i="4"/>
  <c r="BH69" i="4"/>
  <c r="BX69" i="4"/>
  <c r="AL79" i="4"/>
  <c r="BB79" i="4"/>
  <c r="AL69" i="4"/>
  <c r="BB69" i="4"/>
  <c r="H46" i="30"/>
  <c r="J46" i="30" s="1"/>
  <c r="AI79" i="4"/>
  <c r="BN79" i="4"/>
  <c r="J55" i="23" s="1"/>
  <c r="AR79" i="4"/>
  <c r="J54" i="23" s="1"/>
  <c r="F54" i="23" s="1"/>
  <c r="H54" i="23" s="1"/>
  <c r="BF79" i="4"/>
  <c r="BP79" i="4"/>
  <c r="BT79" i="4"/>
  <c r="J81" i="26" s="1"/>
  <c r="F81" i="26" s="1"/>
  <c r="H81" i="26" s="1"/>
  <c r="BY79" i="4"/>
  <c r="J52" i="28" s="1"/>
  <c r="F52" i="28" s="1"/>
  <c r="BG79" i="4"/>
  <c r="J54" i="32" s="1"/>
  <c r="F54" i="32" s="1"/>
  <c r="BQ79" i="4"/>
  <c r="J54" i="24" s="1"/>
  <c r="F54" i="24" s="1"/>
  <c r="H54" i="24" s="1"/>
  <c r="BU79" i="4"/>
  <c r="BZ79" i="4"/>
  <c r="J52" i="37" s="1"/>
  <c r="F52" i="37" s="1"/>
  <c r="BR79" i="4"/>
  <c r="J78" i="25" s="1"/>
  <c r="F78" i="25" s="1"/>
  <c r="BV79" i="4"/>
  <c r="J52" i="35" s="1"/>
  <c r="F52" i="35" s="1"/>
  <c r="H52" i="35" s="1"/>
  <c r="BE79" i="4"/>
  <c r="BO79" i="4"/>
  <c r="BS79" i="4"/>
  <c r="BW79" i="4"/>
  <c r="DR73" i="4"/>
  <c r="DQ73" i="4"/>
  <c r="DO73" i="4"/>
  <c r="DN73" i="4"/>
  <c r="DM73" i="4"/>
  <c r="DL73" i="4"/>
  <c r="DK73" i="4"/>
  <c r="DJ73" i="4"/>
  <c r="DR61" i="4"/>
  <c r="DQ61" i="4"/>
  <c r="DO61" i="4"/>
  <c r="DN61" i="4"/>
  <c r="DM61" i="4"/>
  <c r="DL61" i="4"/>
  <c r="DK61" i="4"/>
  <c r="DJ61" i="4"/>
  <c r="DR57" i="4"/>
  <c r="DQ57" i="4"/>
  <c r="DO57" i="4"/>
  <c r="DN57" i="4"/>
  <c r="DM57" i="4"/>
  <c r="DL57" i="4"/>
  <c r="DK57" i="4"/>
  <c r="BZ69" i="4"/>
  <c r="BY69" i="4"/>
  <c r="BW69" i="4"/>
  <c r="BV69" i="4"/>
  <c r="BU69" i="4"/>
  <c r="BT69" i="4"/>
  <c r="BS69" i="4"/>
  <c r="BR69" i="4"/>
  <c r="BQ69" i="4"/>
  <c r="BP69" i="4"/>
  <c r="BO69" i="4"/>
  <c r="BN69" i="4"/>
  <c r="BG69" i="4"/>
  <c r="BF69" i="4"/>
  <c r="BE69" i="4"/>
  <c r="DR69" i="4"/>
  <c r="DQ69" i="4"/>
  <c r="DO69" i="4"/>
  <c r="DN69" i="4"/>
  <c r="DM69" i="4"/>
  <c r="DL69" i="4"/>
  <c r="DK69" i="4"/>
  <c r="DJ69" i="4"/>
  <c r="DR67" i="4"/>
  <c r="DQ67" i="4"/>
  <c r="DO67" i="4"/>
  <c r="DN67" i="4"/>
  <c r="DM67" i="4"/>
  <c r="DL67" i="4"/>
  <c r="DK67" i="4"/>
  <c r="DJ67" i="4"/>
  <c r="DR60" i="4"/>
  <c r="DQ60" i="4"/>
  <c r="DO60" i="4"/>
  <c r="DN60" i="4"/>
  <c r="DM60" i="4"/>
  <c r="DL60" i="4"/>
  <c r="DK60" i="4"/>
  <c r="DJ60" i="4"/>
  <c r="DR64" i="4"/>
  <c r="DQ64" i="4"/>
  <c r="DO64" i="4"/>
  <c r="DN64" i="4"/>
  <c r="DM64" i="4"/>
  <c r="DL64" i="4"/>
  <c r="DK64" i="4"/>
  <c r="DJ64" i="4"/>
  <c r="DR74" i="4"/>
  <c r="DQ74" i="4"/>
  <c r="DO74" i="4"/>
  <c r="DN74" i="4"/>
  <c r="DM74" i="4"/>
  <c r="DL74" i="4"/>
  <c r="DK74" i="4"/>
  <c r="DJ74" i="4"/>
  <c r="DR62" i="4"/>
  <c r="DQ62" i="4"/>
  <c r="DO62" i="4"/>
  <c r="DN62" i="4"/>
  <c r="DM62" i="4"/>
  <c r="DL62" i="4"/>
  <c r="DK62" i="4"/>
  <c r="DJ62" i="4"/>
  <c r="DR75" i="4"/>
  <c r="DQ75" i="4"/>
  <c r="DO75" i="4"/>
  <c r="DN75" i="4"/>
  <c r="DM75" i="4"/>
  <c r="DL75" i="4"/>
  <c r="DK75" i="4"/>
  <c r="DJ75" i="4"/>
  <c r="DR63" i="4"/>
  <c r="DQ63" i="4"/>
  <c r="DO63" i="4"/>
  <c r="DN63" i="4"/>
  <c r="DM63" i="4"/>
  <c r="DL63" i="4"/>
  <c r="DK63" i="4"/>
  <c r="DJ63" i="4"/>
  <c r="DR59" i="4"/>
  <c r="DQ59" i="4"/>
  <c r="DO59" i="4"/>
  <c r="DN59" i="4"/>
  <c r="DM59" i="4"/>
  <c r="DL59" i="4"/>
  <c r="DK59" i="4"/>
  <c r="DJ59" i="4"/>
  <c r="DR70" i="4"/>
  <c r="DQ70" i="4"/>
  <c r="DO70" i="4"/>
  <c r="DN70" i="4"/>
  <c r="DM70" i="4"/>
  <c r="DL70" i="4"/>
  <c r="DK70" i="4"/>
  <c r="DJ70" i="4"/>
  <c r="DR58" i="4"/>
  <c r="DQ58" i="4"/>
  <c r="DO58" i="4"/>
  <c r="DN58" i="4"/>
  <c r="DM58" i="4"/>
  <c r="DL58" i="4"/>
  <c r="DK58" i="4"/>
  <c r="DJ58" i="4"/>
  <c r="BW40" i="4"/>
  <c r="BS40" i="4"/>
  <c r="BO40" i="4"/>
  <c r="BE40" i="4"/>
  <c r="BP40" i="4"/>
  <c r="BV40" i="4"/>
  <c r="BR40" i="4"/>
  <c r="BN40" i="4"/>
  <c r="BY40" i="4"/>
  <c r="BT40" i="4"/>
  <c r="BF40" i="4"/>
  <c r="BZ40" i="4"/>
  <c r="BU40" i="4"/>
  <c r="BQ40" i="4"/>
  <c r="BG40" i="4"/>
  <c r="BW32" i="4"/>
  <c r="BS32" i="4"/>
  <c r="BO32" i="4"/>
  <c r="BE32" i="4"/>
  <c r="BY32" i="4"/>
  <c r="BT32" i="4"/>
  <c r="BF32" i="4"/>
  <c r="BV32" i="4"/>
  <c r="BR32" i="4"/>
  <c r="BN32" i="4"/>
  <c r="BP32" i="4"/>
  <c r="BZ32" i="4"/>
  <c r="BU32" i="4"/>
  <c r="BQ32" i="4"/>
  <c r="BG32" i="4"/>
  <c r="BY41" i="4"/>
  <c r="BT41" i="4"/>
  <c r="BP41" i="4"/>
  <c r="BF41" i="4"/>
  <c r="BQ41" i="4"/>
  <c r="BW41" i="4"/>
  <c r="BS41" i="4"/>
  <c r="BO41" i="4"/>
  <c r="BE41" i="4"/>
  <c r="BZ41" i="4"/>
  <c r="BU41" i="4"/>
  <c r="BG41" i="4"/>
  <c r="BV41" i="4"/>
  <c r="BR41" i="4"/>
  <c r="BN41" i="4"/>
  <c r="BV35" i="4"/>
  <c r="BR35" i="4"/>
  <c r="BN35" i="4"/>
  <c r="BW35" i="4"/>
  <c r="BZ35" i="4"/>
  <c r="BU35" i="4"/>
  <c r="BQ35" i="4"/>
  <c r="BG35" i="4"/>
  <c r="BS35" i="4"/>
  <c r="BE35" i="4"/>
  <c r="BY35" i="4"/>
  <c r="BT35" i="4"/>
  <c r="BP35" i="4"/>
  <c r="BF35" i="4"/>
  <c r="BO35" i="4"/>
  <c r="BY33" i="4"/>
  <c r="BT33" i="4"/>
  <c r="BP33" i="4"/>
  <c r="BF33" i="4"/>
  <c r="BU33" i="4"/>
  <c r="BG33" i="4"/>
  <c r="BW33" i="4"/>
  <c r="BS33" i="4"/>
  <c r="BO33" i="4"/>
  <c r="BE33" i="4"/>
  <c r="BZ33" i="4"/>
  <c r="BQ33" i="4"/>
  <c r="BV33" i="4"/>
  <c r="BR33" i="4"/>
  <c r="BN33" i="4"/>
  <c r="BY29" i="4"/>
  <c r="BT29" i="4"/>
  <c r="BP29" i="4"/>
  <c r="BF29" i="4"/>
  <c r="BZ29" i="4"/>
  <c r="BQ29" i="4"/>
  <c r="BW29" i="4"/>
  <c r="BS29" i="4"/>
  <c r="BO29" i="4"/>
  <c r="BE29" i="4"/>
  <c r="BU29" i="4"/>
  <c r="BG29" i="4"/>
  <c r="BV29" i="4"/>
  <c r="BR29" i="4"/>
  <c r="BN29" i="4"/>
  <c r="DI73" i="4"/>
  <c r="DH73" i="4"/>
  <c r="DG73" i="4"/>
  <c r="DF73" i="4"/>
  <c r="CX73" i="4"/>
  <c r="CW73" i="4"/>
  <c r="CY73" i="4"/>
  <c r="DI61" i="4"/>
  <c r="DH61" i="4"/>
  <c r="DG61" i="4"/>
  <c r="DF61" i="4"/>
  <c r="CX61" i="4"/>
  <c r="CW61" i="4"/>
  <c r="CY61" i="4"/>
  <c r="DJ57" i="4"/>
  <c r="DI57" i="4"/>
  <c r="DH57" i="4"/>
  <c r="DG57" i="4"/>
  <c r="DF57" i="4"/>
  <c r="CY57" i="4"/>
  <c r="CX57" i="4"/>
  <c r="CW57" i="4"/>
  <c r="DN49" i="4"/>
  <c r="DJ49" i="4"/>
  <c r="DR49" i="4"/>
  <c r="DM49" i="4"/>
  <c r="DQ49" i="4"/>
  <c r="DL49" i="4"/>
  <c r="DO49" i="4"/>
  <c r="DK49" i="4"/>
  <c r="DO44" i="4"/>
  <c r="DK44" i="4"/>
  <c r="DN44" i="4"/>
  <c r="DJ44" i="4"/>
  <c r="DR44" i="4"/>
  <c r="DM44" i="4"/>
  <c r="DQ44" i="4"/>
  <c r="DL44" i="4"/>
  <c r="DR42" i="4"/>
  <c r="DM42" i="4"/>
  <c r="DQ42" i="4"/>
  <c r="DL42" i="4"/>
  <c r="DO42" i="4"/>
  <c r="DK42" i="4"/>
  <c r="DN42" i="4"/>
  <c r="DJ42" i="4"/>
  <c r="DO40" i="4"/>
  <c r="DK40" i="4"/>
  <c r="DN40" i="4"/>
  <c r="DJ40" i="4"/>
  <c r="DR40" i="4"/>
  <c r="DM40" i="4"/>
  <c r="DQ40" i="4"/>
  <c r="DL40" i="4"/>
  <c r="DR34" i="4"/>
  <c r="DM34" i="4"/>
  <c r="DQ34" i="4"/>
  <c r="DL34" i="4"/>
  <c r="DO34" i="4"/>
  <c r="DK34" i="4"/>
  <c r="DN34" i="4"/>
  <c r="DJ34" i="4"/>
  <c r="DO32" i="4"/>
  <c r="DK32" i="4"/>
  <c r="DN32" i="4"/>
  <c r="DJ32" i="4"/>
  <c r="DR32" i="4"/>
  <c r="DM32" i="4"/>
  <c r="DQ32" i="4"/>
  <c r="DL32" i="4"/>
  <c r="DR30" i="4"/>
  <c r="DM30" i="4"/>
  <c r="DQ30" i="4"/>
  <c r="DL30" i="4"/>
  <c r="DO30" i="4"/>
  <c r="DK30" i="4"/>
  <c r="DN30" i="4"/>
  <c r="DJ30" i="4"/>
  <c r="DQ28" i="4"/>
  <c r="DL28" i="4"/>
  <c r="DO28" i="4"/>
  <c r="DK28" i="4"/>
  <c r="DN28" i="4"/>
  <c r="DJ28" i="4"/>
  <c r="DR28" i="4"/>
  <c r="DM28" i="4"/>
  <c r="CY69" i="4"/>
  <c r="DI69" i="4"/>
  <c r="DH69" i="4"/>
  <c r="DG69" i="4"/>
  <c r="DF69" i="4"/>
  <c r="CX69" i="4"/>
  <c r="CW69" i="4"/>
  <c r="DI67" i="4"/>
  <c r="DH67" i="4"/>
  <c r="DG67" i="4"/>
  <c r="DF67" i="4"/>
  <c r="CX67" i="4"/>
  <c r="CW67" i="4"/>
  <c r="CY67" i="4"/>
  <c r="CY60" i="4"/>
  <c r="DI60" i="4"/>
  <c r="DH60" i="4"/>
  <c r="DG60" i="4"/>
  <c r="DF60" i="4"/>
  <c r="CX60" i="4"/>
  <c r="CW60" i="4"/>
  <c r="CY64" i="4"/>
  <c r="DI64" i="4"/>
  <c r="DH64" i="4"/>
  <c r="DG64" i="4"/>
  <c r="DF64" i="4"/>
  <c r="CX64" i="4"/>
  <c r="CW64" i="4"/>
  <c r="CY75" i="4"/>
  <c r="DI75" i="4"/>
  <c r="DH75" i="4"/>
  <c r="DG75" i="4"/>
  <c r="DF75" i="4"/>
  <c r="CX75" i="4"/>
  <c r="CW75" i="4"/>
  <c r="DI63" i="4"/>
  <c r="DH63" i="4"/>
  <c r="DG63" i="4"/>
  <c r="DF63" i="4"/>
  <c r="CX63" i="4"/>
  <c r="CW63" i="4"/>
  <c r="CY63" i="4"/>
  <c r="DI59" i="4"/>
  <c r="DH59" i="4"/>
  <c r="DG59" i="4"/>
  <c r="DF59" i="4"/>
  <c r="CX59" i="4"/>
  <c r="CW59" i="4"/>
  <c r="CY59" i="4"/>
  <c r="DO50" i="4"/>
  <c r="DK50" i="4"/>
  <c r="DN50" i="4"/>
  <c r="DJ50" i="4"/>
  <c r="DR50" i="4"/>
  <c r="DM50" i="4"/>
  <c r="DQ50" i="4"/>
  <c r="DL50" i="4"/>
  <c r="DQ45" i="4"/>
  <c r="DL45" i="4"/>
  <c r="DO45" i="4"/>
  <c r="DK45" i="4"/>
  <c r="DN45" i="4"/>
  <c r="DJ45" i="4"/>
  <c r="DR45" i="4"/>
  <c r="DM45" i="4"/>
  <c r="DN43" i="4"/>
  <c r="DJ43" i="4"/>
  <c r="DR43" i="4"/>
  <c r="DM43" i="4"/>
  <c r="DQ43" i="4"/>
  <c r="DL43" i="4"/>
  <c r="DO43" i="4"/>
  <c r="DK43" i="4"/>
  <c r="DQ41" i="4"/>
  <c r="DL41" i="4"/>
  <c r="DO41" i="4"/>
  <c r="DK41" i="4"/>
  <c r="DN41" i="4"/>
  <c r="DJ41" i="4"/>
  <c r="DR41" i="4"/>
  <c r="DM41" i="4"/>
  <c r="DN35" i="4"/>
  <c r="DJ35" i="4"/>
  <c r="DR35" i="4"/>
  <c r="DM35" i="4"/>
  <c r="DQ35" i="4"/>
  <c r="DL35" i="4"/>
  <c r="DO35" i="4"/>
  <c r="DK35" i="4"/>
  <c r="DQ33" i="4"/>
  <c r="DL33" i="4"/>
  <c r="DO33" i="4"/>
  <c r="DK33" i="4"/>
  <c r="DN33" i="4"/>
  <c r="DJ33" i="4"/>
  <c r="DR33" i="4"/>
  <c r="DM33" i="4"/>
  <c r="DN31" i="4"/>
  <c r="DJ31" i="4"/>
  <c r="DR31" i="4"/>
  <c r="DM31" i="4"/>
  <c r="DQ31" i="4"/>
  <c r="DL31" i="4"/>
  <c r="DO31" i="4"/>
  <c r="DK31" i="4"/>
  <c r="DQ29" i="4"/>
  <c r="DL29" i="4"/>
  <c r="DO29" i="4"/>
  <c r="DK29" i="4"/>
  <c r="DN29" i="4"/>
  <c r="DJ29" i="4"/>
  <c r="DR29" i="4"/>
  <c r="DM29" i="4"/>
  <c r="DI70" i="4"/>
  <c r="DH70" i="4"/>
  <c r="DG70" i="4"/>
  <c r="DF70" i="4"/>
  <c r="CX70" i="4"/>
  <c r="CW70" i="4"/>
  <c r="CY70" i="4"/>
  <c r="DI74" i="4"/>
  <c r="DH74" i="4"/>
  <c r="DG74" i="4"/>
  <c r="DF74" i="4"/>
  <c r="CX74" i="4"/>
  <c r="CW74" i="4"/>
  <c r="CY74" i="4"/>
  <c r="DI62" i="4"/>
  <c r="DH62" i="4"/>
  <c r="DG62" i="4"/>
  <c r="DF62" i="4"/>
  <c r="CX62" i="4"/>
  <c r="CW62" i="4"/>
  <c r="CY62" i="4"/>
  <c r="DI58" i="4"/>
  <c r="DH58" i="4"/>
  <c r="DG58" i="4"/>
  <c r="DF58" i="4"/>
  <c r="CX58" i="4"/>
  <c r="CW58" i="4"/>
  <c r="CY58" i="4"/>
  <c r="CR57" i="4"/>
  <c r="CQ57" i="4"/>
  <c r="CP57" i="4"/>
  <c r="CO57" i="4"/>
  <c r="CV57" i="4"/>
  <c r="CU57" i="4"/>
  <c r="CN57" i="4"/>
  <c r="CJ57" i="4"/>
  <c r="CS57" i="4"/>
  <c r="CM57" i="4"/>
  <c r="CC57" i="4"/>
  <c r="CL57" i="4"/>
  <c r="CB57" i="4"/>
  <c r="CK57" i="4"/>
  <c r="CA57" i="4"/>
  <c r="DH44" i="4"/>
  <c r="CX44" i="4"/>
  <c r="DG44" i="4"/>
  <c r="CW44" i="4"/>
  <c r="DF44" i="4"/>
  <c r="CU44" i="4"/>
  <c r="CP44" i="4"/>
  <c r="CL44" i="4"/>
  <c r="CB44" i="4"/>
  <c r="DI44" i="4"/>
  <c r="CY44" i="4"/>
  <c r="CV44" i="4"/>
  <c r="CO44" i="4"/>
  <c r="CS44" i="4"/>
  <c r="CQ44" i="4"/>
  <c r="CK44" i="4"/>
  <c r="CJ44" i="4"/>
  <c r="CR44" i="4"/>
  <c r="CN44" i="4"/>
  <c r="CC44" i="4"/>
  <c r="CA44" i="4"/>
  <c r="CM44" i="4"/>
  <c r="DF42" i="4"/>
  <c r="DI42" i="4"/>
  <c r="CY42" i="4"/>
  <c r="DH42" i="4"/>
  <c r="CX42" i="4"/>
  <c r="CR42" i="4"/>
  <c r="CN42" i="4"/>
  <c r="CJ42" i="4"/>
  <c r="CW42" i="4"/>
  <c r="DG42" i="4"/>
  <c r="CS42" i="4"/>
  <c r="CV42" i="4"/>
  <c r="CP42" i="4"/>
  <c r="CC42" i="4"/>
  <c r="CM42" i="4"/>
  <c r="CB42" i="4"/>
  <c r="CU42" i="4"/>
  <c r="CQ42" i="4"/>
  <c r="CO42" i="4"/>
  <c r="CL42" i="4"/>
  <c r="CA42" i="4"/>
  <c r="CK42" i="4"/>
  <c r="DH40" i="4"/>
  <c r="CX40" i="4"/>
  <c r="DG40" i="4"/>
  <c r="CW40" i="4"/>
  <c r="DF40" i="4"/>
  <c r="CU40" i="4"/>
  <c r="CP40" i="4"/>
  <c r="CL40" i="4"/>
  <c r="CB40" i="4"/>
  <c r="DI40" i="4"/>
  <c r="CY40" i="4"/>
  <c r="CQ40" i="4"/>
  <c r="CR40" i="4"/>
  <c r="CO40" i="4"/>
  <c r="CM40" i="4"/>
  <c r="CA40" i="4"/>
  <c r="CK40" i="4"/>
  <c r="CS40" i="4"/>
  <c r="CJ40" i="4"/>
  <c r="CV40" i="4"/>
  <c r="CN40" i="4"/>
  <c r="CC40" i="4"/>
  <c r="DF34" i="4"/>
  <c r="DI34" i="4"/>
  <c r="CY34" i="4"/>
  <c r="DH34" i="4"/>
  <c r="CR34" i="4"/>
  <c r="CN34" i="4"/>
  <c r="CJ34" i="4"/>
  <c r="DG34" i="4"/>
  <c r="CU34" i="4"/>
  <c r="CO34" i="4"/>
  <c r="CX34" i="4"/>
  <c r="CQ34" i="4"/>
  <c r="CK34" i="4"/>
  <c r="CS34" i="4"/>
  <c r="CC34" i="4"/>
  <c r="CV34" i="4"/>
  <c r="CP34" i="4"/>
  <c r="CM34" i="4"/>
  <c r="CB34" i="4"/>
  <c r="CW34" i="4"/>
  <c r="CL34" i="4"/>
  <c r="CA34" i="4"/>
  <c r="DH32" i="4"/>
  <c r="CX32" i="4"/>
  <c r="DG32" i="4"/>
  <c r="CW32" i="4"/>
  <c r="DF32" i="4"/>
  <c r="DI32" i="4"/>
  <c r="CU32" i="4"/>
  <c r="CP32" i="4"/>
  <c r="CL32" i="4"/>
  <c r="CB32" i="4"/>
  <c r="CY32" i="4"/>
  <c r="CR32" i="4"/>
  <c r="CS32" i="4"/>
  <c r="CN32" i="4"/>
  <c r="CC32" i="4"/>
  <c r="CV32" i="4"/>
  <c r="CM32" i="4"/>
  <c r="CA32" i="4"/>
  <c r="CO32" i="4"/>
  <c r="CK32" i="4"/>
  <c r="CQ32" i="4"/>
  <c r="CJ32" i="4"/>
  <c r="DF30" i="4"/>
  <c r="DI30" i="4"/>
  <c r="CY30" i="4"/>
  <c r="DH30" i="4"/>
  <c r="CX30" i="4"/>
  <c r="DG30" i="4"/>
  <c r="CR30" i="4"/>
  <c r="CN30" i="4"/>
  <c r="CJ30" i="4"/>
  <c r="CW30" i="4"/>
  <c r="CV30" i="4"/>
  <c r="CP30" i="4"/>
  <c r="CL30" i="4"/>
  <c r="CA30" i="4"/>
  <c r="CU30" i="4"/>
  <c r="CO30" i="4"/>
  <c r="CK30" i="4"/>
  <c r="CQ30" i="4"/>
  <c r="CC30" i="4"/>
  <c r="CM30" i="4"/>
  <c r="CB30" i="4"/>
  <c r="CS30" i="4"/>
  <c r="DI28" i="4"/>
  <c r="CY28" i="4"/>
  <c r="DH28" i="4"/>
  <c r="CX28" i="4"/>
  <c r="DG28" i="4"/>
  <c r="DF28" i="4"/>
  <c r="CW28" i="4"/>
  <c r="CV28" i="4"/>
  <c r="CQ28" i="4"/>
  <c r="CM28" i="4"/>
  <c r="CC28" i="4"/>
  <c r="CU28" i="4"/>
  <c r="CO28" i="4"/>
  <c r="CP28" i="4"/>
  <c r="CK28" i="4"/>
  <c r="CR28" i="4"/>
  <c r="CJ28" i="4"/>
  <c r="CN28" i="4"/>
  <c r="CB28" i="4"/>
  <c r="CS28" i="4"/>
  <c r="CL28" i="4"/>
  <c r="CA28" i="4"/>
  <c r="CV69" i="4"/>
  <c r="CU69" i="4"/>
  <c r="CS69" i="4"/>
  <c r="CR69" i="4"/>
  <c r="CQ69" i="4"/>
  <c r="CP69" i="4"/>
  <c r="CO69" i="4"/>
  <c r="CK69" i="4"/>
  <c r="CA69" i="4"/>
  <c r="CN69" i="4"/>
  <c r="CJ69" i="4"/>
  <c r="CM69" i="4"/>
  <c r="CC69" i="4"/>
  <c r="CL69" i="4"/>
  <c r="CB69" i="4"/>
  <c r="CS61" i="4"/>
  <c r="CR61" i="4"/>
  <c r="CV61" i="4"/>
  <c r="CK61" i="4"/>
  <c r="CA61" i="4"/>
  <c r="CU61" i="4"/>
  <c r="CP61" i="4"/>
  <c r="CN61" i="4"/>
  <c r="CJ61" i="4"/>
  <c r="CM61" i="4"/>
  <c r="CC61" i="4"/>
  <c r="CL61" i="4"/>
  <c r="CB61" i="4"/>
  <c r="CO61" i="4"/>
  <c r="CQ61" i="4"/>
  <c r="CV60" i="4"/>
  <c r="CU60" i="4"/>
  <c r="CS60" i="4"/>
  <c r="CR60" i="4"/>
  <c r="CP60" i="4"/>
  <c r="CN60" i="4"/>
  <c r="CJ60" i="4"/>
  <c r="CM60" i="4"/>
  <c r="CC60" i="4"/>
  <c r="CQ60" i="4"/>
  <c r="CO60" i="4"/>
  <c r="CL60" i="4"/>
  <c r="CB60" i="4"/>
  <c r="CK60" i="4"/>
  <c r="CA60" i="4"/>
  <c r="CV64" i="4"/>
  <c r="CU64" i="4"/>
  <c r="CS64" i="4"/>
  <c r="CR64" i="4"/>
  <c r="CQ64" i="4"/>
  <c r="CP64" i="4"/>
  <c r="CO64" i="4"/>
  <c r="CN64" i="4"/>
  <c r="CM64" i="4"/>
  <c r="CL64" i="4"/>
  <c r="CK64" i="4"/>
  <c r="CJ64" i="4"/>
  <c r="CC64" i="4"/>
  <c r="CB64" i="4"/>
  <c r="CA64" i="4"/>
  <c r="CQ73" i="4"/>
  <c r="CP73" i="4"/>
  <c r="CO73" i="4"/>
  <c r="CN73" i="4"/>
  <c r="CM73" i="4"/>
  <c r="CL73" i="4"/>
  <c r="CK73" i="4"/>
  <c r="CJ73" i="4"/>
  <c r="CC73" i="4"/>
  <c r="CB73" i="4"/>
  <c r="CA73" i="4"/>
  <c r="CU73" i="4"/>
  <c r="CS73" i="4"/>
  <c r="CR73" i="4"/>
  <c r="CV73" i="4"/>
  <c r="CR79" i="4"/>
  <c r="J53" i="35" s="1"/>
  <c r="F53" i="35" s="1"/>
  <c r="H53" i="35" s="1"/>
  <c r="CC79" i="4"/>
  <c r="J55" i="32" s="1"/>
  <c r="F55" i="32" s="1"/>
  <c r="CM79" i="4"/>
  <c r="J55" i="24" s="1"/>
  <c r="F55" i="24" s="1"/>
  <c r="H55" i="24" s="1"/>
  <c r="CA79" i="4"/>
  <c r="CU79" i="4"/>
  <c r="J53" i="28" s="1"/>
  <c r="F53" i="28" s="1"/>
  <c r="CB79" i="4"/>
  <c r="CN79" i="4"/>
  <c r="J79" i="25" s="1"/>
  <c r="F79" i="25" s="1"/>
  <c r="CV79" i="4"/>
  <c r="J53" i="37" s="1"/>
  <c r="F53" i="37" s="1"/>
  <c r="CL79" i="4"/>
  <c r="CO79" i="4"/>
  <c r="CJ79" i="4"/>
  <c r="J56" i="23" s="1"/>
  <c r="CK79" i="4"/>
  <c r="CQ79" i="4"/>
  <c r="CP79" i="4"/>
  <c r="J82" i="26" s="1"/>
  <c r="F82" i="26" s="1"/>
  <c r="H82" i="26" s="1"/>
  <c r="CS79" i="4"/>
  <c r="AK79" i="4"/>
  <c r="J53" i="32" s="1"/>
  <c r="F53" i="32" s="1"/>
  <c r="AJ79" i="4"/>
  <c r="BA79" i="4"/>
  <c r="AZ79" i="4"/>
  <c r="J51" i="35" s="1"/>
  <c r="F51" i="35" s="1"/>
  <c r="H51" i="35" s="1"/>
  <c r="AY79" i="4"/>
  <c r="AX79" i="4"/>
  <c r="J80" i="26" s="1"/>
  <c r="F80" i="26" s="1"/>
  <c r="H80" i="26" s="1"/>
  <c r="AW79" i="4"/>
  <c r="AV79" i="4"/>
  <c r="J77" i="25" s="1"/>
  <c r="F77" i="25" s="1"/>
  <c r="AU79" i="4"/>
  <c r="J53" i="24" s="1"/>
  <c r="F53" i="24" s="1"/>
  <c r="H53" i="24" s="1"/>
  <c r="AT79" i="4"/>
  <c r="BD79" i="4"/>
  <c r="J51" i="37" s="1"/>
  <c r="BC79" i="4"/>
  <c r="J51" i="28" s="1"/>
  <c r="AS79" i="4"/>
  <c r="CV75" i="4"/>
  <c r="CU75" i="4"/>
  <c r="CS75" i="4"/>
  <c r="CR75" i="4"/>
  <c r="CM75" i="4"/>
  <c r="CC75" i="4"/>
  <c r="CP75" i="4"/>
  <c r="CL75" i="4"/>
  <c r="CB75" i="4"/>
  <c r="CK75" i="4"/>
  <c r="CA75" i="4"/>
  <c r="CQ75" i="4"/>
  <c r="CN75" i="4"/>
  <c r="CJ75" i="4"/>
  <c r="CO75" i="4"/>
  <c r="CV63" i="4"/>
  <c r="CU63" i="4"/>
  <c r="CS63" i="4"/>
  <c r="CR63" i="4"/>
  <c r="CQ63" i="4"/>
  <c r="CP63" i="4"/>
  <c r="CO63" i="4"/>
  <c r="CL63" i="4"/>
  <c r="CB63" i="4"/>
  <c r="CK63" i="4"/>
  <c r="CA63" i="4"/>
  <c r="CN63" i="4"/>
  <c r="CJ63" i="4"/>
  <c r="CM63" i="4"/>
  <c r="CC63" i="4"/>
  <c r="CR59" i="4"/>
  <c r="CV59" i="4"/>
  <c r="CQ59" i="4"/>
  <c r="CP59" i="4"/>
  <c r="CO59" i="4"/>
  <c r="CN59" i="4"/>
  <c r="CM59" i="4"/>
  <c r="CL59" i="4"/>
  <c r="CK59" i="4"/>
  <c r="CJ59" i="4"/>
  <c r="CC59" i="4"/>
  <c r="CB59" i="4"/>
  <c r="CA59" i="4"/>
  <c r="CU59" i="4"/>
  <c r="CS59" i="4"/>
  <c r="DH50" i="4"/>
  <c r="CX50" i="4"/>
  <c r="DG50" i="4"/>
  <c r="CW50" i="4"/>
  <c r="DF50" i="4"/>
  <c r="CY50" i="4"/>
  <c r="CU50" i="4"/>
  <c r="CP50" i="4"/>
  <c r="CL50" i="4"/>
  <c r="CB50" i="4"/>
  <c r="DI50" i="4"/>
  <c r="CS50" i="4"/>
  <c r="CV50" i="4"/>
  <c r="CR50" i="4"/>
  <c r="CJ50" i="4"/>
  <c r="CO50" i="4"/>
  <c r="CN50" i="4"/>
  <c r="CC50" i="4"/>
  <c r="CQ50" i="4"/>
  <c r="CM50" i="4"/>
  <c r="CA50" i="4"/>
  <c r="CK50" i="4"/>
  <c r="DI45" i="4"/>
  <c r="CY45" i="4"/>
  <c r="DH45" i="4"/>
  <c r="CX45" i="4"/>
  <c r="DG45" i="4"/>
  <c r="CV45" i="4"/>
  <c r="CQ45" i="4"/>
  <c r="CM45" i="4"/>
  <c r="CC45" i="4"/>
  <c r="CW45" i="4"/>
  <c r="CP45" i="4"/>
  <c r="CL45" i="4"/>
  <c r="CA45" i="4"/>
  <c r="CS45" i="4"/>
  <c r="CK45" i="4"/>
  <c r="CJ45" i="4"/>
  <c r="DF45" i="4"/>
  <c r="CN45" i="4"/>
  <c r="CU45" i="4"/>
  <c r="CO45" i="4"/>
  <c r="CR45" i="4"/>
  <c r="CB45" i="4"/>
  <c r="DG43" i="4"/>
  <c r="CW43" i="4"/>
  <c r="DF43" i="4"/>
  <c r="DI43" i="4"/>
  <c r="CY43" i="4"/>
  <c r="CS43" i="4"/>
  <c r="CO43" i="4"/>
  <c r="CK43" i="4"/>
  <c r="CA43" i="4"/>
  <c r="CX43" i="4"/>
  <c r="CU43" i="4"/>
  <c r="DH43" i="4"/>
  <c r="CJ43" i="4"/>
  <c r="CV43" i="4"/>
  <c r="CR43" i="4"/>
  <c r="CP43" i="4"/>
  <c r="CN43" i="4"/>
  <c r="CC43" i="4"/>
  <c r="CM43" i="4"/>
  <c r="CB43" i="4"/>
  <c r="CQ43" i="4"/>
  <c r="CL43" i="4"/>
  <c r="DI41" i="4"/>
  <c r="CY41" i="4"/>
  <c r="DH41" i="4"/>
  <c r="CX41" i="4"/>
  <c r="DG41" i="4"/>
  <c r="CW41" i="4"/>
  <c r="CV41" i="4"/>
  <c r="CQ41" i="4"/>
  <c r="CM41" i="4"/>
  <c r="CC41" i="4"/>
  <c r="CR41" i="4"/>
  <c r="CN41" i="4"/>
  <c r="CB41" i="4"/>
  <c r="CU41" i="4"/>
  <c r="CO41" i="4"/>
  <c r="CL41" i="4"/>
  <c r="CA41" i="4"/>
  <c r="DF41" i="4"/>
  <c r="CK41" i="4"/>
  <c r="CJ41" i="4"/>
  <c r="CP41" i="4"/>
  <c r="CS41" i="4"/>
  <c r="DG35" i="4"/>
  <c r="CW35" i="4"/>
  <c r="DF35" i="4"/>
  <c r="DI35" i="4"/>
  <c r="CY35" i="4"/>
  <c r="CS35" i="4"/>
  <c r="CO35" i="4"/>
  <c r="CK35" i="4"/>
  <c r="CA35" i="4"/>
  <c r="DH35" i="4"/>
  <c r="CV35" i="4"/>
  <c r="CP35" i="4"/>
  <c r="CU35" i="4"/>
  <c r="CL35" i="4"/>
  <c r="CX35" i="4"/>
  <c r="CQ35" i="4"/>
  <c r="CJ35" i="4"/>
  <c r="CN35" i="4"/>
  <c r="CC35" i="4"/>
  <c r="CR35" i="4"/>
  <c r="CM35" i="4"/>
  <c r="CB35" i="4"/>
  <c r="DI33" i="4"/>
  <c r="CY33" i="4"/>
  <c r="DH33" i="4"/>
  <c r="CX33" i="4"/>
  <c r="DG33" i="4"/>
  <c r="CV33" i="4"/>
  <c r="CQ33" i="4"/>
  <c r="CM33" i="4"/>
  <c r="CC33" i="4"/>
  <c r="DF33" i="4"/>
  <c r="CS33" i="4"/>
  <c r="CJ33" i="4"/>
  <c r="CP33" i="4"/>
  <c r="CN33" i="4"/>
  <c r="CB33" i="4"/>
  <c r="CW33" i="4"/>
  <c r="CR33" i="4"/>
  <c r="CL33" i="4"/>
  <c r="CA33" i="4"/>
  <c r="CU33" i="4"/>
  <c r="CO33" i="4"/>
  <c r="CK33" i="4"/>
  <c r="DG31" i="4"/>
  <c r="CW31" i="4"/>
  <c r="DF31" i="4"/>
  <c r="DI31" i="4"/>
  <c r="CY31" i="4"/>
  <c r="DH31" i="4"/>
  <c r="CS31" i="4"/>
  <c r="CO31" i="4"/>
  <c r="CK31" i="4"/>
  <c r="CA31" i="4"/>
  <c r="CX31" i="4"/>
  <c r="CQ31" i="4"/>
  <c r="CV31" i="4"/>
  <c r="CP31" i="4"/>
  <c r="CM31" i="4"/>
  <c r="CB31" i="4"/>
  <c r="CR31" i="4"/>
  <c r="CL31" i="4"/>
  <c r="CU31" i="4"/>
  <c r="CJ31" i="4"/>
  <c r="CN31" i="4"/>
  <c r="CC31" i="4"/>
  <c r="DI29" i="4"/>
  <c r="CY29" i="4"/>
  <c r="DH29" i="4"/>
  <c r="CX29" i="4"/>
  <c r="DG29" i="4"/>
  <c r="DF29" i="4"/>
  <c r="CW29" i="4"/>
  <c r="CV29" i="4"/>
  <c r="CQ29" i="4"/>
  <c r="CM29" i="4"/>
  <c r="CC29" i="4"/>
  <c r="CU29" i="4"/>
  <c r="CO29" i="4"/>
  <c r="CR29" i="4"/>
  <c r="CK29" i="4"/>
  <c r="CJ29" i="4"/>
  <c r="CS29" i="4"/>
  <c r="CN29" i="4"/>
  <c r="CB29" i="4"/>
  <c r="CL29" i="4"/>
  <c r="CA29" i="4"/>
  <c r="CP29" i="4"/>
  <c r="CV70" i="4"/>
  <c r="CU70" i="4"/>
  <c r="CS70" i="4"/>
  <c r="CR70" i="4"/>
  <c r="CQ70" i="4"/>
  <c r="CP70" i="4"/>
  <c r="CO70" i="4"/>
  <c r="CN70" i="4"/>
  <c r="CM70" i="4"/>
  <c r="CL70" i="4"/>
  <c r="CK70" i="4"/>
  <c r="CJ70" i="4"/>
  <c r="CC70" i="4"/>
  <c r="CB70" i="4"/>
  <c r="CA70" i="4"/>
  <c r="DG49" i="4"/>
  <c r="CW49" i="4"/>
  <c r="DF49" i="4"/>
  <c r="DI49" i="4"/>
  <c r="CY49" i="4"/>
  <c r="CS49" i="4"/>
  <c r="CO49" i="4"/>
  <c r="CK49" i="4"/>
  <c r="CA49" i="4"/>
  <c r="CX49" i="4"/>
  <c r="CR49" i="4"/>
  <c r="CN49" i="4"/>
  <c r="CC49" i="4"/>
  <c r="DH49" i="4"/>
  <c r="CU49" i="4"/>
  <c r="CQ49" i="4"/>
  <c r="CM49" i="4"/>
  <c r="CB49" i="4"/>
  <c r="CL49" i="4"/>
  <c r="CJ49" i="4"/>
  <c r="CV49" i="4"/>
  <c r="CP49" i="4"/>
  <c r="CS67" i="4"/>
  <c r="CR67" i="4"/>
  <c r="CN67" i="4"/>
  <c r="CJ67" i="4"/>
  <c r="CQ67" i="4"/>
  <c r="CO67" i="4"/>
  <c r="CM67" i="4"/>
  <c r="CC67" i="4"/>
  <c r="CV67" i="4"/>
  <c r="CL67" i="4"/>
  <c r="CB67" i="4"/>
  <c r="CU67" i="4"/>
  <c r="CA67" i="4"/>
  <c r="CP67" i="4"/>
  <c r="CK67" i="4"/>
  <c r="CV74" i="4"/>
  <c r="CU74" i="4"/>
  <c r="CS74" i="4"/>
  <c r="CP74" i="4"/>
  <c r="CL74" i="4"/>
  <c r="CB74" i="4"/>
  <c r="CR74" i="4"/>
  <c r="CK74" i="4"/>
  <c r="CA74" i="4"/>
  <c r="CQ74" i="4"/>
  <c r="CO74" i="4"/>
  <c r="CN74" i="4"/>
  <c r="CJ74" i="4"/>
  <c r="CC74" i="4"/>
  <c r="CM74" i="4"/>
  <c r="CQ62" i="4"/>
  <c r="CP62" i="4"/>
  <c r="CO62" i="4"/>
  <c r="CN62" i="4"/>
  <c r="CM62" i="4"/>
  <c r="CL62" i="4"/>
  <c r="CK62" i="4"/>
  <c r="CJ62" i="4"/>
  <c r="CC62" i="4"/>
  <c r="CB62" i="4"/>
  <c r="CA62" i="4"/>
  <c r="CU62" i="4"/>
  <c r="CS62" i="4"/>
  <c r="CV62" i="4"/>
  <c r="CR62" i="4"/>
  <c r="CV58" i="4"/>
  <c r="CU58" i="4"/>
  <c r="CS58" i="4"/>
  <c r="CR58" i="4"/>
  <c r="CQ58" i="4"/>
  <c r="CP58" i="4"/>
  <c r="CO58" i="4"/>
  <c r="CN58" i="4"/>
  <c r="CM58" i="4"/>
  <c r="CL58" i="4"/>
  <c r="CK58" i="4"/>
  <c r="CJ58" i="4"/>
  <c r="CC58" i="4"/>
  <c r="CB58" i="4"/>
  <c r="CA58" i="4"/>
  <c r="AV69" i="4"/>
  <c r="BC69" i="4"/>
  <c r="AX69" i="4"/>
  <c r="BA69" i="4"/>
  <c r="AW69" i="4"/>
  <c r="AZ69" i="4"/>
  <c r="BD69" i="4"/>
  <c r="AY69" i="4"/>
  <c r="AZ41" i="4"/>
  <c r="BD41" i="4"/>
  <c r="AY41" i="4"/>
  <c r="BC41" i="4"/>
  <c r="AX41" i="4"/>
  <c r="BA41" i="4"/>
  <c r="AW41" i="4"/>
  <c r="BC35" i="4"/>
  <c r="AX35" i="4"/>
  <c r="BA35" i="4"/>
  <c r="AW35" i="4"/>
  <c r="AZ35" i="4"/>
  <c r="BD35" i="4"/>
  <c r="AY35" i="4"/>
  <c r="AZ33" i="4"/>
  <c r="BD33" i="4"/>
  <c r="AY33" i="4"/>
  <c r="BC33" i="4"/>
  <c r="AX33" i="4"/>
  <c r="BA33" i="4"/>
  <c r="AW33" i="4"/>
  <c r="AZ29" i="4"/>
  <c r="BD29" i="4"/>
  <c r="AY29" i="4"/>
  <c r="BC29" i="4"/>
  <c r="AX29" i="4"/>
  <c r="BA29" i="4"/>
  <c r="AW29" i="4"/>
  <c r="BD40" i="4"/>
  <c r="AY40" i="4"/>
  <c r="BC40" i="4"/>
  <c r="AX40" i="4"/>
  <c r="BA40" i="4"/>
  <c r="AW40" i="4"/>
  <c r="AZ40" i="4"/>
  <c r="BD32" i="4"/>
  <c r="AY32" i="4"/>
  <c r="BC32" i="4"/>
  <c r="AX32" i="4"/>
  <c r="BA32" i="4"/>
  <c r="AW32" i="4"/>
  <c r="AZ32" i="4"/>
  <c r="AU69" i="4"/>
  <c r="AK69" i="4"/>
  <c r="AI69" i="4"/>
  <c r="AT69" i="4"/>
  <c r="AJ69" i="4"/>
  <c r="AS69" i="4"/>
  <c r="AR69" i="4"/>
  <c r="AS41" i="4"/>
  <c r="AJ41" i="4"/>
  <c r="AI41" i="4"/>
  <c r="AV41" i="4"/>
  <c r="AR41" i="4"/>
  <c r="AU41" i="4"/>
  <c r="AK41" i="4"/>
  <c r="AT41" i="4"/>
  <c r="AU35" i="4"/>
  <c r="AK35" i="4"/>
  <c r="AT35" i="4"/>
  <c r="AS35" i="4"/>
  <c r="AJ35" i="4"/>
  <c r="AI35" i="4"/>
  <c r="AV35" i="4"/>
  <c r="AR35" i="4"/>
  <c r="AS33" i="4"/>
  <c r="AJ33" i="4"/>
  <c r="AI33" i="4"/>
  <c r="AV33" i="4"/>
  <c r="AR33" i="4"/>
  <c r="AU33" i="4"/>
  <c r="AK33" i="4"/>
  <c r="AT33" i="4"/>
  <c r="AS29" i="4"/>
  <c r="AJ29" i="4"/>
  <c r="AI29" i="4"/>
  <c r="AV29" i="4"/>
  <c r="AR29" i="4"/>
  <c r="AU29" i="4"/>
  <c r="AK29" i="4"/>
  <c r="AT29" i="4"/>
  <c r="AV40" i="4"/>
  <c r="AR40" i="4"/>
  <c r="AU40" i="4"/>
  <c r="AK40" i="4"/>
  <c r="AT40" i="4"/>
  <c r="AS40" i="4"/>
  <c r="AJ40" i="4"/>
  <c r="AI40" i="4"/>
  <c r="AV32" i="4"/>
  <c r="AR32" i="4"/>
  <c r="AU32" i="4"/>
  <c r="AK32" i="4"/>
  <c r="AT32" i="4"/>
  <c r="AS32" i="4"/>
  <c r="AJ32" i="4"/>
  <c r="AI32" i="4"/>
  <c r="AR76" i="4" l="1"/>
  <c r="J47" i="23" s="1"/>
  <c r="F47" i="23" s="1"/>
  <c r="H47" i="23" s="1"/>
  <c r="AW76" i="4"/>
  <c r="J73" i="22" s="1"/>
  <c r="AV76" i="4"/>
  <c r="J70" i="25" s="1"/>
  <c r="F70" i="25" s="1"/>
  <c r="H70" i="25" s="1"/>
  <c r="BG76" i="4"/>
  <c r="J47" i="32" s="1"/>
  <c r="F47" i="32" s="1"/>
  <c r="H47" i="32" s="1"/>
  <c r="AN76" i="4"/>
  <c r="J46" i="44" s="1"/>
  <c r="AP76" i="4"/>
  <c r="J46" i="42" s="1"/>
  <c r="AM76" i="4"/>
  <c r="J46" i="45" s="1"/>
  <c r="DE76" i="4"/>
  <c r="J49" i="41" s="1"/>
  <c r="CG76" i="4"/>
  <c r="J48" i="43" s="1"/>
  <c r="BI76" i="4"/>
  <c r="J47" i="45" s="1"/>
  <c r="AQ76" i="4"/>
  <c r="BL76" i="4"/>
  <c r="J47" i="42" s="1"/>
  <c r="DA76" i="4"/>
  <c r="J49" i="45" s="1"/>
  <c r="DC76" i="4"/>
  <c r="J49" i="43" s="1"/>
  <c r="BM76" i="4"/>
  <c r="J47" i="41" s="1"/>
  <c r="BJ76" i="4"/>
  <c r="J47" i="44" s="1"/>
  <c r="CI76" i="4"/>
  <c r="J48" i="41" s="1"/>
  <c r="CH76" i="4"/>
  <c r="J48" i="42" s="1"/>
  <c r="CF76" i="4"/>
  <c r="J48" i="44" s="1"/>
  <c r="BK76" i="4"/>
  <c r="J47" i="43" s="1"/>
  <c r="AO76" i="4"/>
  <c r="J46" i="43" s="1"/>
  <c r="CE76" i="4"/>
  <c r="J48" i="45" s="1"/>
  <c r="DD76" i="4"/>
  <c r="J49" i="42" s="1"/>
  <c r="DB76" i="4"/>
  <c r="J49" i="44" s="1"/>
  <c r="AI76" i="4"/>
  <c r="J46" i="34" s="1"/>
  <c r="F46" i="34" s="1"/>
  <c r="H46" i="34" s="1"/>
  <c r="J53" i="33"/>
  <c r="F53" i="33" s="1"/>
  <c r="J54" i="33"/>
  <c r="F54" i="33" s="1"/>
  <c r="BE76" i="4"/>
  <c r="F47" i="45" s="1"/>
  <c r="H47" i="45" s="1"/>
  <c r="J55" i="33"/>
  <c r="F55" i="33" s="1"/>
  <c r="H55" i="33" s="1"/>
  <c r="AU76" i="4"/>
  <c r="J46" i="24" s="1"/>
  <c r="F46" i="24" s="1"/>
  <c r="H46" i="24" s="1"/>
  <c r="AX76" i="4"/>
  <c r="J73" i="26" s="1"/>
  <c r="F73" i="26" s="1"/>
  <c r="H73" i="26" s="1"/>
  <c r="BZ76" i="4"/>
  <c r="J45" i="37" s="1"/>
  <c r="F45" i="37" s="1"/>
  <c r="F53" i="45"/>
  <c r="H53" i="45" s="1"/>
  <c r="BC76" i="4"/>
  <c r="J44" i="28" s="1"/>
  <c r="F44" i="28" s="1"/>
  <c r="F55" i="45"/>
  <c r="H55" i="45" s="1"/>
  <c r="BV76" i="4"/>
  <c r="J45" i="35" s="1"/>
  <c r="F45" i="35" s="1"/>
  <c r="H45" i="35" s="1"/>
  <c r="AK76" i="4"/>
  <c r="J46" i="32" s="1"/>
  <c r="F46" i="32" s="1"/>
  <c r="H46" i="32" s="1"/>
  <c r="BF76" i="4"/>
  <c r="BT76" i="4"/>
  <c r="J74" i="26" s="1"/>
  <c r="F74" i="26" s="1"/>
  <c r="H74" i="26" s="1"/>
  <c r="F54" i="45"/>
  <c r="H54" i="45" s="1"/>
  <c r="AL76" i="4"/>
  <c r="BN76" i="4"/>
  <c r="J48" i="23" s="1"/>
  <c r="F48" i="23" s="1"/>
  <c r="H48" i="23" s="1"/>
  <c r="BD76" i="4"/>
  <c r="J44" i="37" s="1"/>
  <c r="BW76" i="4"/>
  <c r="J45" i="36" s="1"/>
  <c r="F45" i="36" s="1"/>
  <c r="H45" i="36" s="1"/>
  <c r="AT76" i="4"/>
  <c r="J61" i="21" s="1"/>
  <c r="F61" i="21" s="1"/>
  <c r="H61" i="21" s="1"/>
  <c r="AZ76" i="4"/>
  <c r="J44" i="35" s="1"/>
  <c r="F44" i="35" s="1"/>
  <c r="H44" i="35" s="1"/>
  <c r="BP76" i="4"/>
  <c r="J62" i="21" s="1"/>
  <c r="F62" i="21" s="1"/>
  <c r="H62" i="21" s="1"/>
  <c r="BY76" i="4"/>
  <c r="J45" i="28" s="1"/>
  <c r="F45" i="28" s="1"/>
  <c r="BH76" i="4"/>
  <c r="AJ76" i="4"/>
  <c r="BO76" i="4"/>
  <c r="BX76" i="4"/>
  <c r="BR76" i="4"/>
  <c r="J71" i="25" s="1"/>
  <c r="F71" i="25" s="1"/>
  <c r="H71" i="25" s="1"/>
  <c r="BS76" i="4"/>
  <c r="J74" i="22" s="1"/>
  <c r="BB76" i="4"/>
  <c r="BQ76" i="4"/>
  <c r="J47" i="24" s="1"/>
  <c r="F47" i="24" s="1"/>
  <c r="H47" i="24" s="1"/>
  <c r="BA76" i="4"/>
  <c r="J44" i="39" s="1"/>
  <c r="F44" i="39" s="1"/>
  <c r="H44" i="39" s="1"/>
  <c r="BU76" i="4"/>
  <c r="J45" i="29" s="1"/>
  <c r="F45" i="29" s="1"/>
  <c r="H45" i="29" s="1"/>
  <c r="AS76" i="4"/>
  <c r="AY76" i="4"/>
  <c r="J44" i="29" s="1"/>
  <c r="F44" i="29" s="1"/>
  <c r="H44" i="29" s="1"/>
  <c r="CD76" i="4"/>
  <c r="DP76" i="4"/>
  <c r="CZ76" i="4"/>
  <c r="CT76" i="4"/>
  <c r="J53" i="36"/>
  <c r="F53" i="36" s="1"/>
  <c r="H53" i="36" s="1"/>
  <c r="J53" i="39"/>
  <c r="F53" i="39" s="1"/>
  <c r="H53" i="39" s="1"/>
  <c r="J51" i="36"/>
  <c r="F51" i="36" s="1"/>
  <c r="H51" i="36" s="1"/>
  <c r="J51" i="39"/>
  <c r="F51" i="39" s="1"/>
  <c r="H51" i="39" s="1"/>
  <c r="J52" i="36"/>
  <c r="F52" i="36" s="1"/>
  <c r="H52" i="36" s="1"/>
  <c r="J52" i="39"/>
  <c r="F52" i="39" s="1"/>
  <c r="H52" i="39" s="1"/>
  <c r="J54" i="34"/>
  <c r="F54" i="34" s="1"/>
  <c r="H54" i="34" s="1"/>
  <c r="J54" i="38"/>
  <c r="J53" i="34"/>
  <c r="F53" i="34" s="1"/>
  <c r="H53" i="34" s="1"/>
  <c r="J53" i="38"/>
  <c r="F53" i="38" s="1"/>
  <c r="H53" i="38" s="1"/>
  <c r="J55" i="34"/>
  <c r="F55" i="34" s="1"/>
  <c r="H55" i="34" s="1"/>
  <c r="J55" i="38"/>
  <c r="F44" i="37"/>
  <c r="F51" i="37"/>
  <c r="F54" i="37" s="1"/>
  <c r="J54" i="37"/>
  <c r="J83" i="26"/>
  <c r="F56" i="23"/>
  <c r="H56" i="23" s="1"/>
  <c r="J52" i="29"/>
  <c r="F52" i="29" s="1"/>
  <c r="H52" i="29" s="1"/>
  <c r="F55" i="23"/>
  <c r="H55" i="23" s="1"/>
  <c r="J51" i="29"/>
  <c r="F51" i="29" s="1"/>
  <c r="H51" i="29" s="1"/>
  <c r="J53" i="29"/>
  <c r="F53" i="29" s="1"/>
  <c r="H53" i="29" s="1"/>
  <c r="J68" i="21"/>
  <c r="J70" i="21"/>
  <c r="F70" i="21" s="1"/>
  <c r="H70" i="21" s="1"/>
  <c r="J69" i="21"/>
  <c r="F69" i="21" s="1"/>
  <c r="H69" i="21" s="1"/>
  <c r="J57" i="23"/>
  <c r="J54" i="28"/>
  <c r="F51" i="28"/>
  <c r="J56" i="32"/>
  <c r="J81" i="22"/>
  <c r="H78" i="25"/>
  <c r="J80" i="22"/>
  <c r="J82" i="22"/>
  <c r="H79" i="25"/>
  <c r="H54" i="33"/>
  <c r="H54" i="32"/>
  <c r="H55" i="32"/>
  <c r="H53" i="32"/>
  <c r="H53" i="33"/>
  <c r="J71" i="20"/>
  <c r="F71" i="20" s="1"/>
  <c r="H71" i="20" s="1"/>
  <c r="J69" i="20"/>
  <c r="F69" i="20" s="1"/>
  <c r="H69" i="20" s="1"/>
  <c r="J70" i="20"/>
  <c r="F70" i="20" s="1"/>
  <c r="H70" i="20" s="1"/>
  <c r="DN76" i="4"/>
  <c r="J47" i="35" s="1"/>
  <c r="F47" i="35" s="1"/>
  <c r="H47" i="35" s="1"/>
  <c r="DN22" i="4"/>
  <c r="J33" i="35" s="1"/>
  <c r="F33" i="35" s="1"/>
  <c r="H33" i="35" s="1"/>
  <c r="CY22" i="4"/>
  <c r="J35" i="32" s="1"/>
  <c r="F35" i="32" s="1"/>
  <c r="CP22" i="4"/>
  <c r="J61" i="26" s="1"/>
  <c r="F61" i="26" s="1"/>
  <c r="H61" i="26" s="1"/>
  <c r="CQ22" i="4"/>
  <c r="CR22" i="4"/>
  <c r="J32" i="35" s="1"/>
  <c r="F32" i="35" s="1"/>
  <c r="H32" i="35" s="1"/>
  <c r="CJ22" i="4"/>
  <c r="J35" i="23" s="1"/>
  <c r="CS22" i="4"/>
  <c r="DI76" i="4"/>
  <c r="J49" i="24" s="1"/>
  <c r="F49" i="24" s="1"/>
  <c r="H49" i="24" s="1"/>
  <c r="DF76" i="4"/>
  <c r="J50" i="23" s="1"/>
  <c r="DJ76" i="4"/>
  <c r="J73" i="25" s="1"/>
  <c r="F73" i="25" s="1"/>
  <c r="DK76" i="4"/>
  <c r="DO76" i="4"/>
  <c r="CW76" i="4"/>
  <c r="DG76" i="4"/>
  <c r="DL76" i="4"/>
  <c r="J76" i="26" s="1"/>
  <c r="F76" i="26" s="1"/>
  <c r="H76" i="26" s="1"/>
  <c r="DQ76" i="4"/>
  <c r="J47" i="28" s="1"/>
  <c r="F47" i="28" s="1"/>
  <c r="CY76" i="4"/>
  <c r="J49" i="32" s="1"/>
  <c r="F49" i="32" s="1"/>
  <c r="CX76" i="4"/>
  <c r="DH76" i="4"/>
  <c r="DM76" i="4"/>
  <c r="DR76" i="4"/>
  <c r="J47" i="37" s="1"/>
  <c r="F47" i="37" s="1"/>
  <c r="DI51" i="4"/>
  <c r="J42" i="24" s="1"/>
  <c r="F42" i="24" s="1"/>
  <c r="H42" i="24" s="1"/>
  <c r="DN51" i="4"/>
  <c r="J40" i="35" s="1"/>
  <c r="F40" i="35" s="1"/>
  <c r="H40" i="35" s="1"/>
  <c r="DQ51" i="4"/>
  <c r="J40" i="28" s="1"/>
  <c r="F40" i="28" s="1"/>
  <c r="DG51" i="4"/>
  <c r="CM51" i="4"/>
  <c r="J41" i="24" s="1"/>
  <c r="F41" i="24" s="1"/>
  <c r="H41" i="24" s="1"/>
  <c r="DO22" i="4"/>
  <c r="DF51" i="4"/>
  <c r="J43" i="23" s="1"/>
  <c r="CY51" i="4"/>
  <c r="J42" i="32" s="1"/>
  <c r="F42" i="32" s="1"/>
  <c r="DJ51" i="4"/>
  <c r="J66" i="25" s="1"/>
  <c r="F66" i="25" s="1"/>
  <c r="DL51" i="4"/>
  <c r="J69" i="26" s="1"/>
  <c r="F69" i="26" s="1"/>
  <c r="H69" i="26" s="1"/>
  <c r="CW22" i="4"/>
  <c r="CX51" i="4"/>
  <c r="DM51" i="4"/>
  <c r="DK51" i="4"/>
  <c r="CU22" i="4"/>
  <c r="J32" i="28" s="1"/>
  <c r="F32" i="28" s="1"/>
  <c r="DH51" i="4"/>
  <c r="DR51" i="4"/>
  <c r="J40" i="37" s="1"/>
  <c r="F40" i="37" s="1"/>
  <c r="DO51" i="4"/>
  <c r="CS51" i="4"/>
  <c r="CV51" i="4"/>
  <c r="J39" i="37" s="1"/>
  <c r="F39" i="37" s="1"/>
  <c r="CK51" i="4"/>
  <c r="CR51" i="4"/>
  <c r="J39" i="35" s="1"/>
  <c r="F39" i="35" s="1"/>
  <c r="H39" i="35" s="1"/>
  <c r="CA76" i="4"/>
  <c r="CC76" i="4"/>
  <c r="J48" i="32" s="1"/>
  <c r="F48" i="32" s="1"/>
  <c r="CN76" i="4"/>
  <c r="J72" i="25" s="1"/>
  <c r="F72" i="25" s="1"/>
  <c r="CP76" i="4"/>
  <c r="J75" i="26" s="1"/>
  <c r="F75" i="26" s="1"/>
  <c r="H75" i="26" s="1"/>
  <c r="CA22" i="4"/>
  <c r="CN22" i="4"/>
  <c r="J58" i="25" s="1"/>
  <c r="F58" i="25" s="1"/>
  <c r="CV22" i="4"/>
  <c r="J32" i="37" s="1"/>
  <c r="F32" i="37" s="1"/>
  <c r="CX22" i="4"/>
  <c r="DI22" i="4"/>
  <c r="J35" i="24" s="1"/>
  <c r="F35" i="24" s="1"/>
  <c r="H35" i="24" s="1"/>
  <c r="CA51" i="4"/>
  <c r="CB51" i="4"/>
  <c r="CO51" i="4"/>
  <c r="CC51" i="4"/>
  <c r="J41" i="32" s="1"/>
  <c r="F41" i="32" s="1"/>
  <c r="CU51" i="4"/>
  <c r="J39" i="28" s="1"/>
  <c r="F39" i="28" s="1"/>
  <c r="CP51" i="4"/>
  <c r="J68" i="26" s="1"/>
  <c r="F68" i="26" s="1"/>
  <c r="H68" i="26" s="1"/>
  <c r="CK76" i="4"/>
  <c r="CM76" i="4"/>
  <c r="J48" i="24" s="1"/>
  <c r="F48" i="24" s="1"/>
  <c r="H48" i="24" s="1"/>
  <c r="CU76" i="4"/>
  <c r="J46" i="28" s="1"/>
  <c r="F46" i="28" s="1"/>
  <c r="CQ76" i="4"/>
  <c r="CB22" i="4"/>
  <c r="CK22" i="4"/>
  <c r="CC22" i="4"/>
  <c r="J34" i="32" s="1"/>
  <c r="F34" i="32" s="1"/>
  <c r="DL22" i="4"/>
  <c r="J62" i="26" s="1"/>
  <c r="F62" i="26" s="1"/>
  <c r="H62" i="26" s="1"/>
  <c r="DH22" i="4"/>
  <c r="DF22" i="4"/>
  <c r="J36" i="23" s="1"/>
  <c r="DG22" i="4"/>
  <c r="DM22" i="4"/>
  <c r="CN51" i="4"/>
  <c r="J65" i="25" s="1"/>
  <c r="F65" i="25" s="1"/>
  <c r="CJ51" i="4"/>
  <c r="J42" i="23" s="1"/>
  <c r="CB76" i="4"/>
  <c r="CS76" i="4"/>
  <c r="CV76" i="4"/>
  <c r="J46" i="37" s="1"/>
  <c r="F46" i="37" s="1"/>
  <c r="CR76" i="4"/>
  <c r="J46" i="35" s="1"/>
  <c r="F46" i="35" s="1"/>
  <c r="H46" i="35" s="1"/>
  <c r="BW22" i="4"/>
  <c r="BZ22" i="4"/>
  <c r="J31" i="37" s="1"/>
  <c r="F31" i="37" s="1"/>
  <c r="CL22" i="4"/>
  <c r="CO22" i="4"/>
  <c r="CM22" i="4"/>
  <c r="J34" i="24" s="1"/>
  <c r="F34" i="24" s="1"/>
  <c r="H34" i="24" s="1"/>
  <c r="DK22" i="4"/>
  <c r="DQ22" i="4"/>
  <c r="J33" i="28" s="1"/>
  <c r="F33" i="28" s="1"/>
  <c r="DJ22" i="4"/>
  <c r="J59" i="25" s="1"/>
  <c r="F59" i="25" s="1"/>
  <c r="DR22" i="4"/>
  <c r="J33" i="37" s="1"/>
  <c r="F33" i="37" s="1"/>
  <c r="CQ51" i="4"/>
  <c r="CL51" i="4"/>
  <c r="CL76" i="4"/>
  <c r="CJ76" i="4"/>
  <c r="J49" i="23" s="1"/>
  <c r="CO76" i="4"/>
  <c r="AT22" i="4"/>
  <c r="AV22" i="4"/>
  <c r="J56" i="25" s="1"/>
  <c r="F56" i="25" s="1"/>
  <c r="BS22" i="4"/>
  <c r="BV22" i="4"/>
  <c r="J31" i="35" s="1"/>
  <c r="F31" i="35" s="1"/>
  <c r="H31" i="35" s="1"/>
  <c r="BU22" i="4"/>
  <c r="BT22" i="4"/>
  <c r="J60" i="26" s="1"/>
  <c r="F60" i="26" s="1"/>
  <c r="H60" i="26" s="1"/>
  <c r="BZ51" i="4"/>
  <c r="J38" i="37" s="1"/>
  <c r="F38" i="37" s="1"/>
  <c r="BV51" i="4"/>
  <c r="J38" i="35" s="1"/>
  <c r="F38" i="35" s="1"/>
  <c r="H38" i="35" s="1"/>
  <c r="BF51" i="4"/>
  <c r="BY22" i="4"/>
  <c r="J31" i="28" s="1"/>
  <c r="F31" i="28" s="1"/>
  <c r="BG51" i="4"/>
  <c r="J40" i="32" s="1"/>
  <c r="F40" i="32" s="1"/>
  <c r="BO51" i="4"/>
  <c r="BP51" i="4"/>
  <c r="BN22" i="4"/>
  <c r="J34" i="23" s="1"/>
  <c r="BF22" i="4"/>
  <c r="BQ51" i="4"/>
  <c r="J40" i="24" s="1"/>
  <c r="F40" i="24" s="1"/>
  <c r="H40" i="24" s="1"/>
  <c r="BN51" i="4"/>
  <c r="J41" i="23" s="1"/>
  <c r="BT51" i="4"/>
  <c r="J67" i="26" s="1"/>
  <c r="F67" i="26" s="1"/>
  <c r="H67" i="26" s="1"/>
  <c r="BG22" i="4"/>
  <c r="J33" i="32" s="1"/>
  <c r="F33" i="32" s="1"/>
  <c r="BS51" i="4"/>
  <c r="AR22" i="4"/>
  <c r="J33" i="23" s="1"/>
  <c r="F33" i="23" s="1"/>
  <c r="H33" i="23" s="1"/>
  <c r="AW22" i="4"/>
  <c r="AY22" i="4"/>
  <c r="BO22" i="4"/>
  <c r="BR22" i="4"/>
  <c r="J57" i="25" s="1"/>
  <c r="F57" i="25" s="1"/>
  <c r="BQ22" i="4"/>
  <c r="J33" i="24" s="1"/>
  <c r="F33" i="24" s="1"/>
  <c r="H33" i="24" s="1"/>
  <c r="BP22" i="4"/>
  <c r="BU51" i="4"/>
  <c r="BR51" i="4"/>
  <c r="J64" i="25" s="1"/>
  <c r="F64" i="25" s="1"/>
  <c r="BW51" i="4"/>
  <c r="BY51" i="4"/>
  <c r="J38" i="28" s="1"/>
  <c r="F38" i="28" s="1"/>
  <c r="AK51" i="4"/>
  <c r="J39" i="32" s="1"/>
  <c r="F39" i="32" s="1"/>
  <c r="AI51" i="4"/>
  <c r="BC51" i="4"/>
  <c r="J37" i="28" s="1"/>
  <c r="F37" i="28" s="1"/>
  <c r="AU51" i="4"/>
  <c r="J39" i="24" s="1"/>
  <c r="F39" i="24" s="1"/>
  <c r="H39" i="24" s="1"/>
  <c r="AJ51" i="4"/>
  <c r="BA22" i="4"/>
  <c r="BD22" i="4"/>
  <c r="J30" i="37" s="1"/>
  <c r="AW51" i="4"/>
  <c r="AY51" i="4"/>
  <c r="AJ22" i="4"/>
  <c r="AK22" i="4"/>
  <c r="J32" i="32" s="1"/>
  <c r="F32" i="32" s="1"/>
  <c r="AR51" i="4"/>
  <c r="J40" i="23" s="1"/>
  <c r="F40" i="23" s="1"/>
  <c r="H40" i="23" s="1"/>
  <c r="AS51" i="4"/>
  <c r="AX22" i="4"/>
  <c r="J59" i="26" s="1"/>
  <c r="F59" i="26" s="1"/>
  <c r="H59" i="26" s="1"/>
  <c r="BA51" i="4"/>
  <c r="BD51" i="4"/>
  <c r="J37" i="37" s="1"/>
  <c r="AS22" i="4"/>
  <c r="AU22" i="4"/>
  <c r="J32" i="24" s="1"/>
  <c r="F32" i="24" s="1"/>
  <c r="H32" i="24" s="1"/>
  <c r="AT51" i="4"/>
  <c r="AV51" i="4"/>
  <c r="J63" i="25" s="1"/>
  <c r="F63" i="25" s="1"/>
  <c r="AZ22" i="4"/>
  <c r="J30" i="35" s="1"/>
  <c r="F30" i="35" s="1"/>
  <c r="H30" i="35" s="1"/>
  <c r="BC22" i="4"/>
  <c r="J30" i="28" s="1"/>
  <c r="F30" i="28" s="1"/>
  <c r="AX51" i="4"/>
  <c r="J66" i="26" s="1"/>
  <c r="F66" i="26" s="1"/>
  <c r="H66" i="26" s="1"/>
  <c r="AZ51" i="4"/>
  <c r="J37" i="35" s="1"/>
  <c r="F37" i="35" s="1"/>
  <c r="H37" i="35" s="1"/>
  <c r="AI22" i="4"/>
  <c r="BE22" i="4"/>
  <c r="BE51" i="4"/>
  <c r="CW51" i="4"/>
  <c r="H56" i="45" l="1"/>
  <c r="F56" i="45"/>
  <c r="AC38" i="45" s="1"/>
  <c r="H56" i="44"/>
  <c r="F56" i="44"/>
  <c r="AC38" i="44" s="1"/>
  <c r="H56" i="42"/>
  <c r="F56" i="42"/>
  <c r="AC38" i="42" s="1"/>
  <c r="H56" i="41"/>
  <c r="F56" i="41"/>
  <c r="AC38" i="41" s="1"/>
  <c r="H56" i="43"/>
  <c r="F56" i="43"/>
  <c r="AC38" i="43" s="1"/>
  <c r="J56" i="33"/>
  <c r="J46" i="38"/>
  <c r="F46" i="38" s="1"/>
  <c r="H46" i="38" s="1"/>
  <c r="F46" i="45"/>
  <c r="H46" i="45" s="1"/>
  <c r="J62" i="20"/>
  <c r="F62" i="20" s="1"/>
  <c r="H62" i="20" s="1"/>
  <c r="J47" i="34"/>
  <c r="F47" i="34" s="1"/>
  <c r="H47" i="34" s="1"/>
  <c r="J47" i="38"/>
  <c r="F47" i="38" s="1"/>
  <c r="H47" i="38" s="1"/>
  <c r="J39" i="33"/>
  <c r="F39" i="33" s="1"/>
  <c r="J41" i="33"/>
  <c r="F41" i="33" s="1"/>
  <c r="J49" i="33"/>
  <c r="F49" i="33" s="1"/>
  <c r="H49" i="33" s="1"/>
  <c r="J47" i="33"/>
  <c r="F47" i="33" s="1"/>
  <c r="H47" i="33" s="1"/>
  <c r="J56" i="43"/>
  <c r="J33" i="33"/>
  <c r="F33" i="33" s="1"/>
  <c r="H33" i="33" s="1"/>
  <c r="J48" i="33"/>
  <c r="F48" i="33" s="1"/>
  <c r="H48" i="33" s="1"/>
  <c r="J42" i="33"/>
  <c r="F42" i="33" s="1"/>
  <c r="H42" i="33" s="1"/>
  <c r="J56" i="42"/>
  <c r="J56" i="41"/>
  <c r="J32" i="33"/>
  <c r="F32" i="33" s="1"/>
  <c r="H32" i="33" s="1"/>
  <c r="J40" i="33"/>
  <c r="F40" i="33" s="1"/>
  <c r="H40" i="33" s="1"/>
  <c r="J34" i="33"/>
  <c r="F34" i="33" s="1"/>
  <c r="H34" i="33" s="1"/>
  <c r="J35" i="33"/>
  <c r="F35" i="33" s="1"/>
  <c r="H35" i="33" s="1"/>
  <c r="J46" i="33"/>
  <c r="F46" i="33" s="1"/>
  <c r="H46" i="33" s="1"/>
  <c r="J39" i="38"/>
  <c r="F39" i="38" s="1"/>
  <c r="H39" i="38" s="1"/>
  <c r="F39" i="45"/>
  <c r="H39" i="45" s="1"/>
  <c r="J56" i="45"/>
  <c r="J42" i="38"/>
  <c r="F42" i="45"/>
  <c r="H42" i="45" s="1"/>
  <c r="F33" i="45"/>
  <c r="F32" i="45"/>
  <c r="J41" i="38"/>
  <c r="F41" i="38" s="1"/>
  <c r="H41" i="38" s="1"/>
  <c r="F41" i="45"/>
  <c r="H41" i="45" s="1"/>
  <c r="F49" i="45"/>
  <c r="H49" i="45" s="1"/>
  <c r="J40" i="38"/>
  <c r="F40" i="45"/>
  <c r="H40" i="45" s="1"/>
  <c r="F34" i="45"/>
  <c r="F48" i="45"/>
  <c r="H48" i="45" s="1"/>
  <c r="F35" i="45"/>
  <c r="J56" i="44"/>
  <c r="J63" i="20"/>
  <c r="F63" i="20" s="1"/>
  <c r="H63" i="20" s="1"/>
  <c r="J45" i="39"/>
  <c r="F45" i="39" s="1"/>
  <c r="H45" i="39" s="1"/>
  <c r="J44" i="36"/>
  <c r="F44" i="36" s="1"/>
  <c r="H44" i="36" s="1"/>
  <c r="H56" i="34"/>
  <c r="J30" i="36"/>
  <c r="F30" i="36" s="1"/>
  <c r="H30" i="36" s="1"/>
  <c r="J30" i="39"/>
  <c r="F30" i="39" s="1"/>
  <c r="H30" i="39" s="1"/>
  <c r="J33" i="36"/>
  <c r="F33" i="36" s="1"/>
  <c r="H33" i="36" s="1"/>
  <c r="J33" i="39"/>
  <c r="F33" i="39" s="1"/>
  <c r="H33" i="39" s="1"/>
  <c r="J32" i="36"/>
  <c r="F32" i="36" s="1"/>
  <c r="H32" i="36" s="1"/>
  <c r="J32" i="39"/>
  <c r="F32" i="39" s="1"/>
  <c r="H32" i="39" s="1"/>
  <c r="J46" i="36"/>
  <c r="F46" i="36" s="1"/>
  <c r="H46" i="36" s="1"/>
  <c r="J46" i="39"/>
  <c r="F46" i="39" s="1"/>
  <c r="H46" i="39" s="1"/>
  <c r="F55" i="38"/>
  <c r="H55" i="38" s="1"/>
  <c r="F42" i="38"/>
  <c r="H42" i="38" s="1"/>
  <c r="J31" i="36"/>
  <c r="F31" i="36" s="1"/>
  <c r="H31" i="36" s="1"/>
  <c r="J31" i="39"/>
  <c r="F31" i="39" s="1"/>
  <c r="H31" i="39" s="1"/>
  <c r="F54" i="38"/>
  <c r="H54" i="38" s="1"/>
  <c r="J54" i="39"/>
  <c r="J40" i="36"/>
  <c r="F40" i="36" s="1"/>
  <c r="H40" i="36" s="1"/>
  <c r="J40" i="39"/>
  <c r="F40" i="39" s="1"/>
  <c r="H40" i="39" s="1"/>
  <c r="F40" i="38"/>
  <c r="H40" i="38" s="1"/>
  <c r="J37" i="36"/>
  <c r="F37" i="36" s="1"/>
  <c r="H37" i="36" s="1"/>
  <c r="J37" i="39"/>
  <c r="F37" i="39" s="1"/>
  <c r="H37" i="39" s="1"/>
  <c r="J38" i="36"/>
  <c r="F38" i="36" s="1"/>
  <c r="H38" i="36" s="1"/>
  <c r="J38" i="39"/>
  <c r="F38" i="39" s="1"/>
  <c r="H38" i="39" s="1"/>
  <c r="J39" i="36"/>
  <c r="F39" i="36" s="1"/>
  <c r="H39" i="36" s="1"/>
  <c r="J39" i="39"/>
  <c r="F39" i="39" s="1"/>
  <c r="H39" i="39" s="1"/>
  <c r="J47" i="36"/>
  <c r="F47" i="36" s="1"/>
  <c r="H47" i="36" s="1"/>
  <c r="J47" i="39"/>
  <c r="F47" i="39" s="1"/>
  <c r="H47" i="39" s="1"/>
  <c r="J56" i="38"/>
  <c r="J32" i="34"/>
  <c r="F32" i="34" s="1"/>
  <c r="H32" i="34" s="1"/>
  <c r="J32" i="38"/>
  <c r="F32" i="38" s="1"/>
  <c r="H32" i="38" s="1"/>
  <c r="J49" i="34"/>
  <c r="F49" i="34" s="1"/>
  <c r="H49" i="34" s="1"/>
  <c r="J49" i="38"/>
  <c r="J33" i="34"/>
  <c r="F33" i="34" s="1"/>
  <c r="H33" i="34" s="1"/>
  <c r="J33" i="38"/>
  <c r="J34" i="34"/>
  <c r="F34" i="34" s="1"/>
  <c r="H34" i="34" s="1"/>
  <c r="J34" i="38"/>
  <c r="J48" i="34"/>
  <c r="F48" i="34" s="1"/>
  <c r="H48" i="34" s="1"/>
  <c r="J48" i="38"/>
  <c r="J35" i="34"/>
  <c r="F35" i="34" s="1"/>
  <c r="H35" i="34" s="1"/>
  <c r="J35" i="38"/>
  <c r="J48" i="37"/>
  <c r="F30" i="37"/>
  <c r="F34" i="37" s="1"/>
  <c r="J34" i="37"/>
  <c r="F48" i="37"/>
  <c r="F37" i="37"/>
  <c r="F41" i="37" s="1"/>
  <c r="J41" i="37"/>
  <c r="J70" i="26"/>
  <c r="H77" i="26"/>
  <c r="F77" i="26"/>
  <c r="Z42" i="26" s="1"/>
  <c r="J77" i="26"/>
  <c r="J63" i="26"/>
  <c r="H83" i="26"/>
  <c r="F83" i="26"/>
  <c r="Z43" i="26" s="1"/>
  <c r="H54" i="29"/>
  <c r="J39" i="29"/>
  <c r="F39" i="29" s="1"/>
  <c r="H39" i="29" s="1"/>
  <c r="F35" i="23"/>
  <c r="H35" i="23" s="1"/>
  <c r="F49" i="23"/>
  <c r="H49" i="23" s="1"/>
  <c r="F50" i="23"/>
  <c r="H50" i="23" s="1"/>
  <c r="J54" i="35"/>
  <c r="J38" i="29"/>
  <c r="F38" i="29" s="1"/>
  <c r="H38" i="29" s="1"/>
  <c r="F34" i="23"/>
  <c r="H34" i="23" s="1"/>
  <c r="F42" i="23"/>
  <c r="H42" i="23" s="1"/>
  <c r="F43" i="23"/>
  <c r="H43" i="23" s="1"/>
  <c r="J54" i="36"/>
  <c r="J37" i="29"/>
  <c r="F37" i="29" s="1"/>
  <c r="H37" i="29" s="1"/>
  <c r="J33" i="29"/>
  <c r="F33" i="29" s="1"/>
  <c r="H33" i="29" s="1"/>
  <c r="J46" i="29"/>
  <c r="F46" i="29" s="1"/>
  <c r="H46" i="29" s="1"/>
  <c r="J40" i="29"/>
  <c r="F40" i="29" s="1"/>
  <c r="H40" i="29" s="1"/>
  <c r="J30" i="29"/>
  <c r="F30" i="29" s="1"/>
  <c r="H30" i="29" s="1"/>
  <c r="F36" i="23"/>
  <c r="H36" i="23" s="1"/>
  <c r="J47" i="29"/>
  <c r="F47" i="29" s="1"/>
  <c r="H47" i="29" s="1"/>
  <c r="J32" i="29"/>
  <c r="F32" i="29" s="1"/>
  <c r="H32" i="29" s="1"/>
  <c r="F41" i="23"/>
  <c r="H41" i="23" s="1"/>
  <c r="J31" i="29"/>
  <c r="F31" i="29" s="1"/>
  <c r="H31" i="29" s="1"/>
  <c r="F54" i="29"/>
  <c r="AC34" i="29" s="1"/>
  <c r="J54" i="29"/>
  <c r="J71" i="21"/>
  <c r="F68" i="21"/>
  <c r="F71" i="21" s="1"/>
  <c r="Z41" i="21" s="1"/>
  <c r="J57" i="21"/>
  <c r="F57" i="21" s="1"/>
  <c r="H57" i="21" s="1"/>
  <c r="J54" i="21"/>
  <c r="F54" i="21" s="1"/>
  <c r="J63" i="21"/>
  <c r="J48" i="21"/>
  <c r="F48" i="21" s="1"/>
  <c r="H48" i="21" s="1"/>
  <c r="J55" i="21"/>
  <c r="F55" i="21" s="1"/>
  <c r="H55" i="21" s="1"/>
  <c r="J47" i="21"/>
  <c r="F47" i="21" s="1"/>
  <c r="H47" i="21" s="1"/>
  <c r="J56" i="21"/>
  <c r="F56" i="21" s="1"/>
  <c r="H56" i="21" s="1"/>
  <c r="J49" i="21"/>
  <c r="F49" i="21" s="1"/>
  <c r="H49" i="21" s="1"/>
  <c r="J50" i="21"/>
  <c r="F50" i="21" s="1"/>
  <c r="H50" i="21" s="1"/>
  <c r="J64" i="21"/>
  <c r="F64" i="21" s="1"/>
  <c r="H64" i="21" s="1"/>
  <c r="J56" i="24"/>
  <c r="J37" i="23"/>
  <c r="J44" i="23"/>
  <c r="J51" i="23"/>
  <c r="H57" i="23"/>
  <c r="F57" i="23"/>
  <c r="AC39" i="23" s="1"/>
  <c r="F73" i="22"/>
  <c r="H73" i="22" s="1"/>
  <c r="F81" i="22"/>
  <c r="H81" i="22" s="1"/>
  <c r="F82" i="22"/>
  <c r="H82" i="22" s="1"/>
  <c r="F80" i="22"/>
  <c r="F74" i="22"/>
  <c r="H74" i="22" s="1"/>
  <c r="J50" i="32"/>
  <c r="F80" i="25"/>
  <c r="H77" i="25"/>
  <c r="J67" i="22"/>
  <c r="H64" i="25"/>
  <c r="H56" i="33"/>
  <c r="F56" i="33"/>
  <c r="AC38" i="33" s="1"/>
  <c r="J75" i="22"/>
  <c r="H72" i="25"/>
  <c r="H34" i="32"/>
  <c r="H48" i="32"/>
  <c r="J40" i="34"/>
  <c r="J36" i="32"/>
  <c r="J59" i="22"/>
  <c r="H56" i="25"/>
  <c r="H33" i="32"/>
  <c r="H41" i="33"/>
  <c r="H41" i="32"/>
  <c r="F56" i="32"/>
  <c r="AC38" i="32" s="1"/>
  <c r="H56" i="32"/>
  <c r="J80" i="25"/>
  <c r="J62" i="22"/>
  <c r="H59" i="25"/>
  <c r="J42" i="34"/>
  <c r="H39" i="32"/>
  <c r="H39" i="33"/>
  <c r="J66" i="22"/>
  <c r="H63" i="25"/>
  <c r="J60" i="22"/>
  <c r="H57" i="25"/>
  <c r="J41" i="34"/>
  <c r="H49" i="32"/>
  <c r="F54" i="28"/>
  <c r="AC34" i="28" s="1"/>
  <c r="H54" i="28"/>
  <c r="J48" i="28"/>
  <c r="J61" i="22"/>
  <c r="H58" i="25"/>
  <c r="H35" i="32"/>
  <c r="H42" i="32"/>
  <c r="J34" i="28"/>
  <c r="J39" i="34"/>
  <c r="H32" i="32"/>
  <c r="H40" i="32"/>
  <c r="J68" i="22"/>
  <c r="H65" i="25"/>
  <c r="J69" i="22"/>
  <c r="H66" i="25"/>
  <c r="J76" i="22"/>
  <c r="H73" i="25"/>
  <c r="J43" i="32"/>
  <c r="J48" i="20"/>
  <c r="F48" i="20" s="1"/>
  <c r="H48" i="20" s="1"/>
  <c r="J56" i="20"/>
  <c r="F56" i="20" s="1"/>
  <c r="H56" i="20" s="1"/>
  <c r="J50" i="20"/>
  <c r="F50" i="20" s="1"/>
  <c r="H50" i="20" s="1"/>
  <c r="F56" i="34"/>
  <c r="J55" i="20"/>
  <c r="F55" i="20" s="1"/>
  <c r="H55" i="20" s="1"/>
  <c r="J64" i="20"/>
  <c r="F64" i="20" s="1"/>
  <c r="H64" i="20" s="1"/>
  <c r="J65" i="20"/>
  <c r="F65" i="20" s="1"/>
  <c r="H65" i="20" s="1"/>
  <c r="J56" i="34"/>
  <c r="J49" i="20"/>
  <c r="F49" i="20" s="1"/>
  <c r="H49" i="20" s="1"/>
  <c r="J57" i="20"/>
  <c r="F57" i="20" s="1"/>
  <c r="H57" i="20" s="1"/>
  <c r="J51" i="20"/>
  <c r="F51" i="20" s="1"/>
  <c r="H51" i="20" s="1"/>
  <c r="J58" i="20"/>
  <c r="F58" i="20" s="1"/>
  <c r="H58" i="20" s="1"/>
  <c r="F72" i="20"/>
  <c r="AC38" i="20" s="1"/>
  <c r="J83" i="22"/>
  <c r="J72" i="20"/>
  <c r="H50" i="45" l="1"/>
  <c r="H43" i="45"/>
  <c r="H36" i="45"/>
  <c r="F43" i="45"/>
  <c r="AC36" i="45" s="1"/>
  <c r="F50" i="45"/>
  <c r="AC37" i="45" s="1"/>
  <c r="H36" i="44"/>
  <c r="F36" i="44"/>
  <c r="H43" i="44"/>
  <c r="F43" i="44"/>
  <c r="AC36" i="44" s="1"/>
  <c r="H50" i="44"/>
  <c r="F50" i="44"/>
  <c r="AC37" i="44" s="1"/>
  <c r="H50" i="42"/>
  <c r="F50" i="42"/>
  <c r="AC37" i="42" s="1"/>
  <c r="H50" i="41"/>
  <c r="F50" i="41"/>
  <c r="AC37" i="41" s="1"/>
  <c r="H36" i="41"/>
  <c r="F36" i="41"/>
  <c r="H36" i="42"/>
  <c r="F36" i="42"/>
  <c r="H43" i="42"/>
  <c r="F43" i="42"/>
  <c r="AC36" i="42" s="1"/>
  <c r="H43" i="41"/>
  <c r="F43" i="41"/>
  <c r="AC36" i="41" s="1"/>
  <c r="H50" i="43"/>
  <c r="F50" i="43"/>
  <c r="AC37" i="43" s="1"/>
  <c r="H36" i="43"/>
  <c r="F36" i="43"/>
  <c r="H43" i="43"/>
  <c r="F43" i="43"/>
  <c r="AC36" i="43" s="1"/>
  <c r="J50" i="44"/>
  <c r="J43" i="33"/>
  <c r="J50" i="45"/>
  <c r="J43" i="38"/>
  <c r="J50" i="33"/>
  <c r="J50" i="43"/>
  <c r="J36" i="33"/>
  <c r="J50" i="42"/>
  <c r="J50" i="41"/>
  <c r="J43" i="41"/>
  <c r="J36" i="43"/>
  <c r="J43" i="43"/>
  <c r="J36" i="45"/>
  <c r="F36" i="45" s="1"/>
  <c r="J36" i="42"/>
  <c r="J43" i="42"/>
  <c r="J36" i="44"/>
  <c r="J36" i="41"/>
  <c r="J43" i="45"/>
  <c r="J43" i="44"/>
  <c r="H56" i="38"/>
  <c r="H50" i="34"/>
  <c r="H43" i="38"/>
  <c r="H36" i="34"/>
  <c r="F33" i="38"/>
  <c r="H33" i="38" s="1"/>
  <c r="F48" i="38"/>
  <c r="H48" i="38" s="1"/>
  <c r="F54" i="39"/>
  <c r="AC34" i="39" s="1"/>
  <c r="H54" i="39"/>
  <c r="F35" i="38"/>
  <c r="H35" i="38" s="1"/>
  <c r="F34" i="38"/>
  <c r="H34" i="38" s="1"/>
  <c r="F49" i="38"/>
  <c r="H49" i="38" s="1"/>
  <c r="J41" i="39"/>
  <c r="J48" i="39"/>
  <c r="J34" i="39"/>
  <c r="F48" i="39"/>
  <c r="AC33" i="39" s="1"/>
  <c r="H48" i="39"/>
  <c r="H48" i="29"/>
  <c r="J50" i="38"/>
  <c r="J36" i="38"/>
  <c r="F43" i="38"/>
  <c r="AC36" i="38" s="1"/>
  <c r="J36" i="34"/>
  <c r="F56" i="38"/>
  <c r="J55" i="37"/>
  <c r="F55" i="37"/>
  <c r="F62" i="37" s="1"/>
  <c r="H133" i="30" s="1"/>
  <c r="J133" i="30" s="1"/>
  <c r="J84" i="26"/>
  <c r="F63" i="26"/>
  <c r="H63" i="26"/>
  <c r="AC38" i="34"/>
  <c r="F51" i="23"/>
  <c r="AC38" i="23" s="1"/>
  <c r="F70" i="26"/>
  <c r="Z41" i="26" s="1"/>
  <c r="H70" i="26"/>
  <c r="F48" i="29"/>
  <c r="AC33" i="29" s="1"/>
  <c r="H34" i="29"/>
  <c r="H68" i="21"/>
  <c r="H71" i="21" s="1"/>
  <c r="H41" i="29"/>
  <c r="J48" i="29"/>
  <c r="F54" i="36"/>
  <c r="AC34" i="36" s="1"/>
  <c r="H54" i="36"/>
  <c r="J34" i="29"/>
  <c r="J34" i="35"/>
  <c r="J41" i="35"/>
  <c r="H48" i="35"/>
  <c r="F48" i="35"/>
  <c r="AC33" i="35" s="1"/>
  <c r="J48" i="36"/>
  <c r="F54" i="35"/>
  <c r="AC34" i="35" s="1"/>
  <c r="H54" i="35"/>
  <c r="H51" i="23"/>
  <c r="J41" i="29"/>
  <c r="F41" i="29"/>
  <c r="AC32" i="29" s="1"/>
  <c r="J34" i="36"/>
  <c r="J41" i="36"/>
  <c r="H48" i="36"/>
  <c r="F48" i="36"/>
  <c r="AC33" i="36" s="1"/>
  <c r="J48" i="35"/>
  <c r="J58" i="21"/>
  <c r="J65" i="21"/>
  <c r="H51" i="21"/>
  <c r="J51" i="21"/>
  <c r="F63" i="21"/>
  <c r="H63" i="21" s="1"/>
  <c r="H65" i="21" s="1"/>
  <c r="F56" i="24"/>
  <c r="Z41" i="24" s="1"/>
  <c r="H56" i="24"/>
  <c r="H50" i="24"/>
  <c r="F50" i="24"/>
  <c r="Z40" i="24" s="1"/>
  <c r="J36" i="24"/>
  <c r="J43" i="24"/>
  <c r="F51" i="21"/>
  <c r="Z38" i="21" s="1"/>
  <c r="J50" i="24"/>
  <c r="J58" i="23"/>
  <c r="H54" i="21"/>
  <c r="H58" i="21" s="1"/>
  <c r="F58" i="21"/>
  <c r="Z39" i="21" s="1"/>
  <c r="H44" i="23"/>
  <c r="F44" i="23"/>
  <c r="AC37" i="23" s="1"/>
  <c r="H37" i="23"/>
  <c r="F37" i="23"/>
  <c r="AC36" i="23" s="1"/>
  <c r="F83" i="22"/>
  <c r="Z43" i="22" s="1"/>
  <c r="F60" i="22"/>
  <c r="H60" i="22" s="1"/>
  <c r="F76" i="22"/>
  <c r="H76" i="22" s="1"/>
  <c r="F68" i="22"/>
  <c r="H68" i="22" s="1"/>
  <c r="F62" i="22"/>
  <c r="H62" i="22" s="1"/>
  <c r="H80" i="22"/>
  <c r="H83" i="22" s="1"/>
  <c r="F59" i="22"/>
  <c r="H59" i="22" s="1"/>
  <c r="F61" i="22"/>
  <c r="H61" i="22" s="1"/>
  <c r="F66" i="22"/>
  <c r="H66" i="22" s="1"/>
  <c r="F69" i="22"/>
  <c r="H69" i="22" s="1"/>
  <c r="F75" i="22"/>
  <c r="H75" i="22" s="1"/>
  <c r="F67" i="22"/>
  <c r="H67" i="22" s="1"/>
  <c r="F34" i="29"/>
  <c r="AC31" i="29" s="1"/>
  <c r="F39" i="34"/>
  <c r="H39" i="34" s="1"/>
  <c r="F41" i="34"/>
  <c r="H41" i="34" s="1"/>
  <c r="F42" i="34"/>
  <c r="H42" i="34" s="1"/>
  <c r="F40" i="34"/>
  <c r="H40" i="34" s="1"/>
  <c r="H36" i="33"/>
  <c r="F66" i="20"/>
  <c r="AC37" i="20" s="1"/>
  <c r="H50" i="33"/>
  <c r="J74" i="25"/>
  <c r="J57" i="32"/>
  <c r="F48" i="28"/>
  <c r="AC33" i="28" s="1"/>
  <c r="J41" i="28"/>
  <c r="J55" i="28" s="1"/>
  <c r="H48" i="28"/>
  <c r="H80" i="25"/>
  <c r="Z40" i="25"/>
  <c r="H74" i="25"/>
  <c r="F74" i="25"/>
  <c r="Z39" i="25" s="1"/>
  <c r="F36" i="33"/>
  <c r="AC35" i="33" s="1"/>
  <c r="J67" i="25"/>
  <c r="H43" i="32"/>
  <c r="F43" i="32"/>
  <c r="AC36" i="32" s="1"/>
  <c r="H36" i="32"/>
  <c r="F36" i="32"/>
  <c r="AC35" i="32" s="1"/>
  <c r="F41" i="28"/>
  <c r="AC32" i="28" s="1"/>
  <c r="H41" i="28"/>
  <c r="H43" i="33"/>
  <c r="F43" i="33"/>
  <c r="AC36" i="33" s="1"/>
  <c r="F50" i="32"/>
  <c r="AC37" i="32" s="1"/>
  <c r="H50" i="32"/>
  <c r="F34" i="28"/>
  <c r="AC31" i="28" s="1"/>
  <c r="H34" i="28"/>
  <c r="F50" i="33"/>
  <c r="AC37" i="33" s="1"/>
  <c r="J60" i="25"/>
  <c r="J50" i="34"/>
  <c r="F36" i="34"/>
  <c r="AC35" i="34" s="1"/>
  <c r="J43" i="34"/>
  <c r="F50" i="34"/>
  <c r="AC37" i="34" s="1"/>
  <c r="J77" i="22"/>
  <c r="J70" i="22"/>
  <c r="J63" i="22"/>
  <c r="J66" i="20"/>
  <c r="J59" i="20"/>
  <c r="J52" i="20"/>
  <c r="H72" i="20"/>
  <c r="H57" i="45" l="1"/>
  <c r="H64" i="45" s="1"/>
  <c r="AC35" i="45"/>
  <c r="F57" i="45"/>
  <c r="H57" i="44"/>
  <c r="H66" i="44" s="1"/>
  <c r="H57" i="41"/>
  <c r="AC35" i="44"/>
  <c r="F57" i="44"/>
  <c r="F57" i="43"/>
  <c r="AC35" i="43"/>
  <c r="AC35" i="42"/>
  <c r="F57" i="42"/>
  <c r="H57" i="43"/>
  <c r="H57" i="42"/>
  <c r="AC35" i="41"/>
  <c r="F57" i="41"/>
  <c r="H70" i="30" s="1"/>
  <c r="J57" i="33"/>
  <c r="J64" i="33" s="1"/>
  <c r="J57" i="44"/>
  <c r="J64" i="44" s="1"/>
  <c r="J57" i="43"/>
  <c r="J66" i="43" s="1"/>
  <c r="J57" i="41"/>
  <c r="J57" i="45"/>
  <c r="J64" i="45" s="1"/>
  <c r="J57" i="42"/>
  <c r="H36" i="38"/>
  <c r="H43" i="34"/>
  <c r="H57" i="34" s="1"/>
  <c r="J55" i="39"/>
  <c r="J62" i="39" s="1"/>
  <c r="F34" i="39"/>
  <c r="H34" i="39"/>
  <c r="F50" i="38"/>
  <c r="AC37" i="38" s="1"/>
  <c r="H50" i="38"/>
  <c r="J57" i="38"/>
  <c r="H41" i="39"/>
  <c r="F41" i="39"/>
  <c r="AC32" i="39" s="1"/>
  <c r="J102" i="26"/>
  <c r="J100" i="26"/>
  <c r="F64" i="37"/>
  <c r="H158" i="30" s="1"/>
  <c r="J158" i="30" s="1"/>
  <c r="F36" i="38"/>
  <c r="J66" i="32"/>
  <c r="J64" i="32"/>
  <c r="J64" i="37"/>
  <c r="J62" i="37"/>
  <c r="H83" i="30"/>
  <c r="J83" i="30" s="1"/>
  <c r="AC38" i="38"/>
  <c r="J66" i="23"/>
  <c r="J68" i="23"/>
  <c r="J55" i="29"/>
  <c r="H84" i="26"/>
  <c r="F84" i="26"/>
  <c r="F100" i="26" s="1"/>
  <c r="H127" i="30" s="1"/>
  <c r="J127" i="30" s="1"/>
  <c r="Z40" i="26"/>
  <c r="H55" i="29"/>
  <c r="H34" i="35"/>
  <c r="F34" i="35"/>
  <c r="AC31" i="35" s="1"/>
  <c r="J72" i="21"/>
  <c r="F41" i="36"/>
  <c r="AC32" i="36" s="1"/>
  <c r="H41" i="36"/>
  <c r="J55" i="36"/>
  <c r="F41" i="35"/>
  <c r="AC32" i="35" s="1"/>
  <c r="H41" i="35"/>
  <c r="F55" i="29"/>
  <c r="H78" i="30" s="1"/>
  <c r="J78" i="30" s="1"/>
  <c r="H34" i="36"/>
  <c r="F34" i="36"/>
  <c r="AC31" i="36" s="1"/>
  <c r="J55" i="35"/>
  <c r="F65" i="21"/>
  <c r="Z40" i="21" s="1"/>
  <c r="H72" i="21"/>
  <c r="J57" i="24"/>
  <c r="F36" i="24"/>
  <c r="H36" i="24"/>
  <c r="H43" i="24"/>
  <c r="F43" i="24"/>
  <c r="Z39" i="24" s="1"/>
  <c r="F58" i="23"/>
  <c r="F66" i="23" s="1"/>
  <c r="H122" i="30" s="1"/>
  <c r="J122" i="30" s="1"/>
  <c r="H58" i="23"/>
  <c r="F43" i="34"/>
  <c r="AC36" i="34" s="1"/>
  <c r="F55" i="28"/>
  <c r="H60" i="25"/>
  <c r="F60" i="25"/>
  <c r="J81" i="25"/>
  <c r="H57" i="32"/>
  <c r="F57" i="33"/>
  <c r="F64" i="33" s="1"/>
  <c r="H113" i="30" s="1"/>
  <c r="J113" i="30" s="1"/>
  <c r="H55" i="28"/>
  <c r="F57" i="32"/>
  <c r="F64" i="32" s="1"/>
  <c r="H114" i="30" s="1"/>
  <c r="J114" i="30" s="1"/>
  <c r="H67" i="25"/>
  <c r="F67" i="25"/>
  <c r="Z38" i="25" s="1"/>
  <c r="H57" i="33"/>
  <c r="J57" i="34"/>
  <c r="J84" i="22"/>
  <c r="H70" i="22"/>
  <c r="F70" i="22"/>
  <c r="Z41" i="22" s="1"/>
  <c r="F63" i="22"/>
  <c r="Z40" i="22" s="1"/>
  <c r="H63" i="22"/>
  <c r="H77" i="22"/>
  <c r="F77" i="22"/>
  <c r="Z42" i="22" s="1"/>
  <c r="H66" i="20"/>
  <c r="H59" i="20"/>
  <c r="F59" i="20"/>
  <c r="AC36" i="20" s="1"/>
  <c r="J73" i="20"/>
  <c r="H52" i="20"/>
  <c r="F52" i="20"/>
  <c r="AC35" i="20" s="1"/>
  <c r="H66" i="45" l="1"/>
  <c r="H64" i="44"/>
  <c r="H66" i="30"/>
  <c r="J66" i="30" s="1"/>
  <c r="F66" i="45"/>
  <c r="H141" i="30" s="1"/>
  <c r="J141" i="30" s="1"/>
  <c r="F64" i="45"/>
  <c r="H116" i="30" s="1"/>
  <c r="J116" i="30" s="1"/>
  <c r="H67" i="30"/>
  <c r="J67" i="30" s="1"/>
  <c r="F66" i="44"/>
  <c r="H142" i="30" s="1"/>
  <c r="J142" i="30" s="1"/>
  <c r="F64" i="44"/>
  <c r="H117" i="30" s="1"/>
  <c r="J117" i="30" s="1"/>
  <c r="H69" i="30"/>
  <c r="J69" i="30" s="1"/>
  <c r="F66" i="42"/>
  <c r="H144" i="30" s="1"/>
  <c r="J144" i="30" s="1"/>
  <c r="F64" i="42"/>
  <c r="H64" i="42"/>
  <c r="H66" i="42"/>
  <c r="H66" i="43"/>
  <c r="H64" i="43"/>
  <c r="H68" i="30"/>
  <c r="J68" i="30" s="1"/>
  <c r="F66" i="43"/>
  <c r="H143" i="30" s="1"/>
  <c r="J143" i="30" s="1"/>
  <c r="F64" i="43"/>
  <c r="H118" i="30" s="1"/>
  <c r="J118" i="30" s="1"/>
  <c r="J66" i="33"/>
  <c r="J64" i="43"/>
  <c r="J66" i="45"/>
  <c r="J66" i="44"/>
  <c r="J64" i="42"/>
  <c r="J66" i="42"/>
  <c r="J64" i="39"/>
  <c r="H57" i="38"/>
  <c r="H55" i="39"/>
  <c r="F55" i="39"/>
  <c r="AC31" i="39"/>
  <c r="J66" i="34"/>
  <c r="J64" i="34"/>
  <c r="AC35" i="38"/>
  <c r="F57" i="38"/>
  <c r="H65" i="30" s="1"/>
  <c r="J65" i="30" s="1"/>
  <c r="H66" i="32"/>
  <c r="H64" i="32"/>
  <c r="J87" i="21"/>
  <c r="J85" i="21"/>
  <c r="H66" i="33"/>
  <c r="H64" i="33"/>
  <c r="H64" i="28"/>
  <c r="H62" i="28"/>
  <c r="J99" i="25"/>
  <c r="J97" i="25"/>
  <c r="H87" i="21"/>
  <c r="H85" i="21"/>
  <c r="H66" i="34"/>
  <c r="H64" i="34"/>
  <c r="J102" i="22"/>
  <c r="J100" i="22"/>
  <c r="H102" i="26"/>
  <c r="H100" i="26"/>
  <c r="J64" i="36"/>
  <c r="J62" i="36"/>
  <c r="J64" i="35"/>
  <c r="J62" i="35"/>
  <c r="H64" i="29"/>
  <c r="H62" i="29"/>
  <c r="F64" i="29"/>
  <c r="H153" i="30" s="1"/>
  <c r="J153" i="30" s="1"/>
  <c r="F62" i="29"/>
  <c r="H128" i="30" s="1"/>
  <c r="J128" i="30" s="1"/>
  <c r="J64" i="29"/>
  <c r="J62" i="29"/>
  <c r="J67" i="24"/>
  <c r="J65" i="24"/>
  <c r="H68" i="23"/>
  <c r="H66" i="23"/>
  <c r="J88" i="20"/>
  <c r="J86" i="20"/>
  <c r="F68" i="23"/>
  <c r="H147" i="30" s="1"/>
  <c r="J147" i="30" s="1"/>
  <c r="H72" i="30"/>
  <c r="F102" i="26"/>
  <c r="H152" i="30" s="1"/>
  <c r="J152" i="30" s="1"/>
  <c r="H77" i="30"/>
  <c r="J77" i="30" s="1"/>
  <c r="F57" i="34"/>
  <c r="F55" i="35"/>
  <c r="F62" i="35" s="1"/>
  <c r="H129" i="30" s="1"/>
  <c r="J129" i="30" s="1"/>
  <c r="F55" i="36"/>
  <c r="F62" i="36" s="1"/>
  <c r="H130" i="30" s="1"/>
  <c r="J130" i="30" s="1"/>
  <c r="H55" i="36"/>
  <c r="H55" i="35"/>
  <c r="F72" i="21"/>
  <c r="F85" i="21" s="1"/>
  <c r="H123" i="30" s="1"/>
  <c r="J123" i="30" s="1"/>
  <c r="H57" i="24"/>
  <c r="F57" i="24"/>
  <c r="Z38" i="24"/>
  <c r="F66" i="33"/>
  <c r="H138" i="30" s="1"/>
  <c r="J138" i="30" s="1"/>
  <c r="H63" i="30"/>
  <c r="J63" i="30" s="1"/>
  <c r="F66" i="32"/>
  <c r="H139" i="30" s="1"/>
  <c r="J139" i="30" s="1"/>
  <c r="H64" i="30"/>
  <c r="J64" i="30" s="1"/>
  <c r="H82" i="30"/>
  <c r="J82" i="30" s="1"/>
  <c r="H81" i="25"/>
  <c r="Z37" i="25"/>
  <c r="F81" i="25"/>
  <c r="F97" i="25" s="1"/>
  <c r="H125" i="30" s="1"/>
  <c r="J125" i="30" s="1"/>
  <c r="F84" i="22"/>
  <c r="H84" i="22"/>
  <c r="F73" i="20"/>
  <c r="F86" i="20" s="1"/>
  <c r="H121" i="30" s="1"/>
  <c r="J121" i="30" s="1"/>
  <c r="H73" i="20"/>
  <c r="H81" i="30" l="1"/>
  <c r="J81" i="30" s="1"/>
  <c r="F64" i="39"/>
  <c r="H156" i="30" s="1"/>
  <c r="J156" i="30" s="1"/>
  <c r="F62" i="39"/>
  <c r="H131" i="30" s="1"/>
  <c r="J131" i="30" s="1"/>
  <c r="H62" i="39"/>
  <c r="H64" i="39"/>
  <c r="H102" i="22"/>
  <c r="H100" i="22"/>
  <c r="H99" i="25"/>
  <c r="H97" i="25"/>
  <c r="H76" i="30"/>
  <c r="J76" i="30" s="1"/>
  <c r="F100" i="22"/>
  <c r="H126" i="30" s="1"/>
  <c r="J126" i="30" s="1"/>
  <c r="F66" i="34"/>
  <c r="H137" i="30" s="1"/>
  <c r="J137" i="30" s="1"/>
  <c r="F64" i="34"/>
  <c r="H112" i="30" s="1"/>
  <c r="J112" i="30" s="1"/>
  <c r="H64" i="36"/>
  <c r="H62" i="36"/>
  <c r="H64" i="35"/>
  <c r="H62" i="35"/>
  <c r="H74" i="30"/>
  <c r="J74" i="30" s="1"/>
  <c r="F65" i="24"/>
  <c r="H124" i="30" s="1"/>
  <c r="J124" i="30" s="1"/>
  <c r="H67" i="24"/>
  <c r="H65" i="24"/>
  <c r="H88" i="20"/>
  <c r="H86" i="20"/>
  <c r="F64" i="36"/>
  <c r="H155" i="30" s="1"/>
  <c r="J155" i="30" s="1"/>
  <c r="H80" i="30"/>
  <c r="J80" i="30" s="1"/>
  <c r="F64" i="35"/>
  <c r="H154" i="30" s="1"/>
  <c r="J154" i="30" s="1"/>
  <c r="H79" i="30"/>
  <c r="J79" i="30" s="1"/>
  <c r="H62" i="30"/>
  <c r="J62" i="30" s="1"/>
  <c r="F87" i="21"/>
  <c r="H148" i="30" s="1"/>
  <c r="J148" i="30" s="1"/>
  <c r="H73" i="30"/>
  <c r="J73" i="30" s="1"/>
  <c r="F67" i="24"/>
  <c r="H149" i="30" s="1"/>
  <c r="J149" i="30" s="1"/>
  <c r="F99" i="25"/>
  <c r="H150" i="30" s="1"/>
  <c r="J150" i="30" s="1"/>
  <c r="H75" i="30"/>
  <c r="J75" i="30" s="1"/>
  <c r="F102" i="22"/>
  <c r="H151" i="30" s="1"/>
  <c r="J151" i="30" s="1"/>
  <c r="J72" i="30"/>
  <c r="F88" i="20"/>
  <c r="H146" i="30" s="1"/>
  <c r="J146" i="30" s="1"/>
  <c r="H71" i="30"/>
  <c r="J71" i="30" s="1"/>
  <c r="J33" i="22" l="1"/>
  <c r="H33" i="22" l="1"/>
  <c r="F33" i="22"/>
  <c r="F24" i="28"/>
  <c r="J26" i="28"/>
  <c r="F26" i="28" l="1"/>
  <c r="F64" i="28" s="1"/>
  <c r="H157" i="30" s="1"/>
  <c r="J157" i="30" s="1"/>
  <c r="AC29" i="28"/>
  <c r="J64" i="28"/>
  <c r="J62" i="28"/>
  <c r="F62" i="28" l="1"/>
  <c r="H132" i="30" s="1"/>
  <c r="J132" i="30" s="1"/>
  <c r="J111" i="38" l="1"/>
  <c r="J112" i="38"/>
  <c r="J113" i="38"/>
  <c r="J114" i="38"/>
  <c r="J115" i="38" l="1"/>
  <c r="F19" i="38" s="1"/>
  <c r="H19" i="38" l="1"/>
  <c r="H24" i="38" s="1"/>
  <c r="H28" i="38" s="1"/>
  <c r="J19" i="38"/>
  <c r="J24" i="38" s="1"/>
  <c r="J28" i="38" s="1"/>
  <c r="F24" i="38"/>
  <c r="F28" i="38" s="1"/>
  <c r="AC28" i="38"/>
  <c r="J64" i="38" l="1"/>
  <c r="J66" i="38"/>
  <c r="H40" i="30"/>
  <c r="J40" i="30" s="1"/>
  <c r="F66" i="38"/>
  <c r="H140" i="30" s="1"/>
  <c r="J140" i="30" s="1"/>
  <c r="F64" i="38"/>
  <c r="H115" i="30" s="1"/>
  <c r="J115" i="30" s="1"/>
  <c r="H66" i="38"/>
  <c r="H64" i="38"/>
  <c r="H24" i="41"/>
  <c r="H28" i="41" s="1"/>
  <c r="H64" i="41" l="1"/>
  <c r="H66" i="41"/>
  <c r="AC28" i="41"/>
  <c r="J19" i="41"/>
  <c r="J24" i="41" s="1"/>
  <c r="J28" i="41" s="1"/>
  <c r="F111" i="41"/>
  <c r="J111" i="41" s="1"/>
  <c r="J115" i="41" s="1"/>
  <c r="F24" i="41"/>
  <c r="F28" i="41" s="1"/>
  <c r="F45" i="30" s="1"/>
  <c r="H45" i="30" l="1"/>
  <c r="J66" i="41"/>
  <c r="J64" i="41"/>
  <c r="F70" i="30"/>
  <c r="J45" i="30"/>
  <c r="J59" i="30" s="1"/>
  <c r="F64" i="41"/>
  <c r="H120" i="30" s="1"/>
  <c r="F66" i="41"/>
  <c r="H145" i="30" s="1"/>
  <c r="J70" i="30" l="1"/>
  <c r="J84" i="30" s="1"/>
  <c r="F95" i="30"/>
  <c r="F145" i="30" l="1"/>
  <c r="J145" i="30" s="1"/>
  <c r="J159" i="30" s="1"/>
  <c r="J95" i="30"/>
  <c r="J109" i="30" s="1"/>
  <c r="F120" i="30"/>
  <c r="J120" i="30" s="1"/>
  <c r="J134" i="30"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<sst xmlns="http://schemas.openxmlformats.org/spreadsheetml/2006/main" count="14106" uniqueCount="734">
  <si>
    <t>ha</t>
  </si>
  <si>
    <t>kg/ha</t>
  </si>
  <si>
    <t>Lannoitteet ja kalkki</t>
  </si>
  <si>
    <t>Energiakustannukset</t>
  </si>
  <si>
    <t>Tuet</t>
  </si>
  <si>
    <t>€/l</t>
  </si>
  <si>
    <t>€/kg</t>
  </si>
  <si>
    <t>€/kpl</t>
  </si>
  <si>
    <t>Pakkaustarvikkeet</t>
  </si>
  <si>
    <t>h</t>
  </si>
  <si>
    <t>€/kWh</t>
  </si>
  <si>
    <t>€/h</t>
  </si>
  <si>
    <t>Rakennukset</t>
  </si>
  <si>
    <t>Koneet ja kalusto</t>
  </si>
  <si>
    <t>€/ha</t>
  </si>
  <si>
    <t>kpl</t>
  </si>
  <si>
    <t>YHTEENSÄ</t>
  </si>
  <si>
    <t>Yleiskustannukset</t>
  </si>
  <si>
    <t>kWh</t>
  </si>
  <si>
    <t>Diesel</t>
  </si>
  <si>
    <t>l</t>
  </si>
  <si>
    <t>kg</t>
  </si>
  <si>
    <t>h/ha</t>
  </si>
  <si>
    <t>Salaojat</t>
  </si>
  <si>
    <t>€/m</t>
  </si>
  <si>
    <t>m</t>
  </si>
  <si>
    <t>€/mansikka-ala</t>
  </si>
  <si>
    <t>AB</t>
  </si>
  <si>
    <t>C</t>
  </si>
  <si>
    <t>kpl/ha</t>
  </si>
  <si>
    <t>HUOMIOITA</t>
  </si>
  <si>
    <t>aine X</t>
  </si>
  <si>
    <t>lannoite X</t>
  </si>
  <si>
    <t>BIOLOGINEN</t>
  </si>
  <si>
    <t>Vailkkorakenne</t>
  </si>
  <si>
    <t>Palkattu työvoima</t>
  </si>
  <si>
    <t>SATOVUOSIEN KUSTANNUKSET</t>
  </si>
  <si>
    <t>IPM Kasvinsuojelu</t>
  </si>
  <si>
    <t>Tuotteiden rahti</t>
  </si>
  <si>
    <t>Konevuokrat ja urakointi</t>
  </si>
  <si>
    <t>SATOVUODEN PAKKAUSTARVIKKEET</t>
  </si>
  <si>
    <t>SATOVUODEN KUSTANNUKSET</t>
  </si>
  <si>
    <t>RAIVAUSVUODEN KUSTANNUKSET</t>
  </si>
  <si>
    <t>Raivausvuosi on monesti melko samanlainen kuin satovuodet paitsi, että kasvuston päättämäisestä ja raivauksesta aiheutuu jotain lisäkulueriä. Nämä alla olevissa kustannuserissä on huomioitu vain nämä lisäkuluerät.</t>
  </si>
  <si>
    <t>Oman työn palkkavaatimus</t>
  </si>
  <si>
    <t>PERUSTAMISVUODEN ENERGIAKUSTANNUKSET</t>
  </si>
  <si>
    <t>€/vadelma-ala</t>
  </si>
  <si>
    <t>PAKKAUSKOKO</t>
  </si>
  <si>
    <t>OSUUS MYYNNISTÄ</t>
  </si>
  <si>
    <t>pakkaus X</t>
  </si>
  <si>
    <t>Pidempiaikaiset tuotantovälineet</t>
  </si>
  <si>
    <t>Pellon vuokrakustannukset</t>
  </si>
  <si>
    <t>Salaojille ei lasketa vakuutuskustannusta.</t>
  </si>
  <si>
    <t>€</t>
  </si>
  <si>
    <t>Prestop Mix</t>
  </si>
  <si>
    <t>m3</t>
  </si>
  <si>
    <t>€/m3</t>
  </si>
  <si>
    <t>valmiste X</t>
  </si>
  <si>
    <t>Pidempiaikaiset tuotatovälineet</t>
  </si>
  <si>
    <t>LANNOITTEET JA KALKKI</t>
  </si>
  <si>
    <t>Fenix</t>
  </si>
  <si>
    <t>Mycostop</t>
  </si>
  <si>
    <t>g</t>
  </si>
  <si>
    <t>€/g</t>
  </si>
  <si>
    <t>Senkor SC100</t>
  </si>
  <si>
    <t>Amistar</t>
  </si>
  <si>
    <t>Sumi Alpha</t>
  </si>
  <si>
    <t>Lentagran</t>
  </si>
  <si>
    <t>Decis</t>
  </si>
  <si>
    <t xml:space="preserve">Devrinol </t>
  </si>
  <si>
    <t>Mavrik</t>
  </si>
  <si>
    <t>Gallery</t>
  </si>
  <si>
    <t>Candit</t>
  </si>
  <si>
    <t>Timotei</t>
  </si>
  <si>
    <t>Siemenet</t>
  </si>
  <si>
    <t>Taimet</t>
  </si>
  <si>
    <t>Yara Mila Y20</t>
  </si>
  <si>
    <t>Mixin</t>
  </si>
  <si>
    <t>Nuance</t>
  </si>
  <si>
    <t>Medax Max</t>
  </si>
  <si>
    <t>Decis Mega Ew 50</t>
  </si>
  <si>
    <t>Teldor</t>
  </si>
  <si>
    <t>Signum</t>
  </si>
  <si>
    <t>€/m2</t>
  </si>
  <si>
    <t>m2</t>
  </si>
  <si>
    <t>Petopunkki</t>
  </si>
  <si>
    <t>Prestop mix</t>
  </si>
  <si>
    <t>Pölytys</t>
  </si>
  <si>
    <t>pesää</t>
  </si>
  <si>
    <t>€/pesä</t>
  </si>
  <si>
    <t>Switch</t>
  </si>
  <si>
    <t>Madex</t>
  </si>
  <si>
    <t>ESIKASVATUSVUOSIEN KUSTANNUKSET</t>
  </si>
  <si>
    <t>YaraMila HEVI3</t>
  </si>
  <si>
    <t>Basagran SG</t>
  </si>
  <si>
    <t>Decis Mega EW 50</t>
  </si>
  <si>
    <t>Hybridiruis</t>
  </si>
  <si>
    <t>Diesel 300km/10l/100km=300</t>
  </si>
  <si>
    <t>ESIKASVATUSVUODEN PAKKAUSTARVIKKEET</t>
  </si>
  <si>
    <t>☆</t>
  </si>
  <si>
    <t>Kivi Pekka</t>
  </si>
  <si>
    <t>Fin-lava</t>
  </si>
  <si>
    <t>AREALER</t>
  </si>
  <si>
    <t xml:space="preserve">De kan fylla i din egen gårds arealer och medelskördar i de ljusblåa rutorna i tabellen nedan. De övriga rutorna innehåller formler, ifall du byter ut innehåller i dylika rutor fungerar kalkylbladet inte som det skall. </t>
  </si>
  <si>
    <t xml:space="preserve">Genom att klicka på vxtens namn kan du förflytta dig till den växtspecifika informationen.  </t>
  </si>
  <si>
    <t>FRILANDSGRÖNSAKER</t>
  </si>
  <si>
    <t>HELA AREALEN</t>
  </si>
  <si>
    <t>SÅLD SKÖRD</t>
  </si>
  <si>
    <t>MOROT</t>
  </si>
  <si>
    <t>KÅL</t>
  </si>
  <si>
    <t>LÖK</t>
  </si>
  <si>
    <t>TRÄDGÅRDSÅRT</t>
  </si>
  <si>
    <t>GRÖNSAK FRÅN FRÖ 1</t>
  </si>
  <si>
    <t>GRÖNSAK FRÅN FRÖ 2</t>
  </si>
  <si>
    <t>GRÖNSAK PLANTERAD 1</t>
  </si>
  <si>
    <t>GRÖNSAK PLANTERAD 2</t>
  </si>
  <si>
    <t>GRÖNSAK PLANTERAD 3</t>
  </si>
  <si>
    <t>BÄR OCH FRUKT</t>
  </si>
  <si>
    <t>SKÖRDEÅR</t>
  </si>
  <si>
    <t>ETABLERINGSÅR</t>
  </si>
  <si>
    <t xml:space="preserve">Fleråriga växters helhetsareal består av växter i olika växtskede: planteringsareal, etableringsareal och skördeareal. Varje växtskede har sin egen skördenivå. Genom att klicka på stjärnan före växtnamnet kan du redigera arealer och skördar. I punkten för såld skörd finns ett vägt medeltal för medelskörden för de olika växtskedena. Denna medelskörd används i beräkningarna som skörd. </t>
  </si>
  <si>
    <t>JORDGUBBE FRILAND</t>
  </si>
  <si>
    <t>JORDGUBBE TUNNEL</t>
  </si>
  <si>
    <t>HALLON FRILAND</t>
  </si>
  <si>
    <t>HALLON TUNNEL</t>
  </si>
  <si>
    <t>SVARTA VINBÄR</t>
  </si>
  <si>
    <t>BUSKBLÅBÄR</t>
  </si>
  <si>
    <t>ÄPPLE</t>
  </si>
  <si>
    <t>år</t>
  </si>
  <si>
    <t>EGEN ÅKER</t>
  </si>
  <si>
    <t>ARRENDEÅKER</t>
  </si>
  <si>
    <t>SAMMANLAGT</t>
  </si>
  <si>
    <t>Skörd</t>
  </si>
  <si>
    <t>Planterad areal</t>
  </si>
  <si>
    <t>Etableringsareal</t>
  </si>
  <si>
    <t>Skördeareal</t>
  </si>
  <si>
    <t>Avslutande areal</t>
  </si>
  <si>
    <t>Hela arealen</t>
  </si>
  <si>
    <t>STÖD</t>
  </si>
  <si>
    <t>VÄLJ HÄR DIN STÖDINFORMATION</t>
  </si>
  <si>
    <t>Din gård finns på stödområdet</t>
  </si>
  <si>
    <t>Din gård finns på styrningsområdet för miljöstöd</t>
  </si>
  <si>
    <t>Styrningsområde</t>
  </si>
  <si>
    <t>Övrigt område</t>
  </si>
  <si>
    <t xml:space="preserve">Stödsystemet har flera stödformer och under stödformerna olika åtgärder. En detaljerad stödnivåtabell hittar du genom att trycka på texten STÖD. Den vägen kan du välja de miljöstödsåtgärder som finns på din gård. </t>
  </si>
  <si>
    <t>GÅRDENS EGENDOM</t>
  </si>
  <si>
    <t>HÄRIFRÅN KOMMER DU TILL KALKYLERNA</t>
  </si>
  <si>
    <t xml:space="preserve">Nedan är uppräknat gårdens byggnader, maskiner och långvariga produktionsutrustningar. Du kan uppdatera alla värden i de blå rutorna t.ex. införskaffningspriser och årsmodeller. Du kan vid behov även ändra namnet på egendomsföremålen. </t>
  </si>
  <si>
    <t xml:space="preserve">Kostnader som uppstår på förvärvad egendom är avskrivning, ränta, underhåll och försäkringar. Uträkningarna görs med inköpspriset som grund, men även t.ex. maskinens ålder inverkar på avskrivningskostnaden. Byggnader, maskiner, utrustning och långvariga produktionsmedel används ofta för flera växter, kalkylerna utgår från att kostnaderna fördelas enligt arealen.  Med på listan finns även endast på några växtern använda produktionsföremål såsom växttunnlar som endast används på jordgubbar och hallon som odlas i tunnlar. Du kan göra förändringar i hur kostnaderna fördelas i mellanbladet Ågendom. De noggrannare uträkningarna hittar du på mellanbladet Ägendom, du kommer även till dessa respektive ägendomsdel genom att klippa på texten 'Byggnader', 'Maskiner och utrustning' tai 'Långvariga produktionsmedel'. Från denna mera noggranna uträkningen kan du även om du så önskar ändra på fördelningen av dessa kostnader. </t>
  </si>
  <si>
    <t>BYGGNADER</t>
  </si>
  <si>
    <t>MASKINER OCH UTRUSTNING</t>
  </si>
  <si>
    <t>LÅNGVARIGA PRODUKTIONSMEDEL</t>
  </si>
  <si>
    <t>€/st</t>
  </si>
  <si>
    <t>st</t>
  </si>
  <si>
    <t>€/gård</t>
  </si>
  <si>
    <t>ALLMÄNNA KOSTNADER</t>
  </si>
  <si>
    <t>INKÖPSPRIS</t>
  </si>
  <si>
    <t>ÅRSMODELL</t>
  </si>
  <si>
    <t>ENHETSPRIS</t>
  </si>
  <si>
    <t>ANTAL</t>
  </si>
  <si>
    <t>TÄCKDIKEN</t>
  </si>
  <si>
    <t xml:space="preserve">           ANTAL</t>
  </si>
  <si>
    <t>Täckdiken</t>
  </si>
  <si>
    <t>traktor 60 hv</t>
  </si>
  <si>
    <t>traktor 100 hv</t>
  </si>
  <si>
    <t>tegplog, 3 skär</t>
  </si>
  <si>
    <t>harv 3m</t>
  </si>
  <si>
    <t>jordgubbsspruta 600 l</t>
  </si>
  <si>
    <t>jordgubbsbom</t>
  </si>
  <si>
    <t>borstmaskin</t>
  </si>
  <si>
    <t>precisionssåmaskin</t>
  </si>
  <si>
    <t>planteringsmaskin</t>
  </si>
  <si>
    <t>morotsupptagare</t>
  </si>
  <si>
    <t>lökupptagare</t>
  </si>
  <si>
    <t>gödselspridare</t>
  </si>
  <si>
    <t>paketbil</t>
  </si>
  <si>
    <t>plastläggningsmaskin</t>
  </si>
  <si>
    <t>kallvattentvättare</t>
  </si>
  <si>
    <t>körbar gräsklippare</t>
  </si>
  <si>
    <t>släpvagnar</t>
  </si>
  <si>
    <t>trädgårdsproduktion maskin X</t>
  </si>
  <si>
    <t>maskin X</t>
  </si>
  <si>
    <t xml:space="preserve">Till maskiner och utrustning hör olika motordriva maskiner samt traktorburen utrustning. Istället för utrustning kan termen redskap användas. Endel av maskinerna och utrustningen används för gårdens alla odlingsväxter, de är märkta med svart text. Endel av utrustningen används endast för vissaväxtgrupper, den här utrustningens kostnader riktas endast till dessa växter. Utrustning som är märkt med grön text används bara på vissa växter. Hur maskinernas kostnader fördelas hittar du på mellanbladet 'Ägendom'. Var och en av maskinernas förmodade användsingstid kan redigeras på Ägendom-mellanbladet.  </t>
  </si>
  <si>
    <t xml:space="preserve">Med långvariga produktionsmedel menas ägenomsföremål, som håller flera år i använding men inte är maskiner eller byggnader. Dessa produktionsmedels förmodade hållbarhetstid kan redigeras på Ägendom-mellanbladet.  </t>
  </si>
  <si>
    <t xml:space="preserve">Allmänna kostnader är kostnader som gäller hela gården. Dessa kostnader fördelas på odlingsväxten enligt odlingsarealen. </t>
  </si>
  <si>
    <t>Allmänna kostnader/fastighetsskatt</t>
  </si>
  <si>
    <t>Markkarteringsprover med fem års mellanrum 5 st/megalab 3 st</t>
  </si>
  <si>
    <t>Analysservice</t>
  </si>
  <si>
    <t>LFÖPL-kostnader</t>
  </si>
  <si>
    <t xml:space="preserve">Övrig olycksfalls/pensionsförsäkringsavgift för företagare </t>
  </si>
  <si>
    <t>Arbetshälsovård</t>
  </si>
  <si>
    <t>Produktionens arbetsledning, bokföring, auditering mm.</t>
  </si>
  <si>
    <t>Auditering</t>
  </si>
  <si>
    <t>Marknadsföringskostnader</t>
  </si>
  <si>
    <t>Kontorsutgifter</t>
  </si>
  <si>
    <t>Allmänna kostnader X</t>
  </si>
  <si>
    <t>SUMMA</t>
  </si>
  <si>
    <t>HELA GÅRDENS LÖNSAMHET</t>
  </si>
  <si>
    <t>Äpple</t>
  </si>
  <si>
    <t xml:space="preserve">Kalkyleringen här under berättar om hela gårdens lönsamhet. Dessa siffror kommer från Gårdens info (arealer) samt från de växtspecifika uträkningarna. Ifall du vill byta ut värden i denna tabell gå till de växtspecifika uträkningarna. </t>
  </si>
  <si>
    <t>Intäkter</t>
  </si>
  <si>
    <t>Försäljningsintäkter</t>
  </si>
  <si>
    <t>Morot</t>
  </si>
  <si>
    <t>Kål</t>
  </si>
  <si>
    <t>Lök</t>
  </si>
  <si>
    <t>Trädgårdsärt</t>
  </si>
  <si>
    <t>Grönsak från frö 1</t>
  </si>
  <si>
    <t>Grönsak från frö 2</t>
  </si>
  <si>
    <t>Planterad grönsak 1</t>
  </si>
  <si>
    <t>Planterad grönsak 2</t>
  </si>
  <si>
    <t>Planterad grönsak 3</t>
  </si>
  <si>
    <t>Jordgubbe friland</t>
  </si>
  <si>
    <t>Jordgubbe tunnel</t>
  </si>
  <si>
    <t>Hallon friland</t>
  </si>
  <si>
    <t>Hallon tunnel</t>
  </si>
  <si>
    <t>Svarta vinbär</t>
  </si>
  <si>
    <t>Buskblåbär</t>
  </si>
  <si>
    <t>Havre</t>
  </si>
  <si>
    <t>Korn</t>
  </si>
  <si>
    <t>Vete</t>
  </si>
  <si>
    <t>Höstråg</t>
  </si>
  <si>
    <t>Vall</t>
  </si>
  <si>
    <t>Summa</t>
  </si>
  <si>
    <t>Naturvårdsåker</t>
  </si>
  <si>
    <t>Stöd</t>
  </si>
  <si>
    <t>Intäkter tillsammans</t>
  </si>
  <si>
    <t>Rörliga kostnader tillsammans</t>
  </si>
  <si>
    <t xml:space="preserve">Rörliga kostnader  </t>
  </si>
  <si>
    <t>Fasta kostnader</t>
  </si>
  <si>
    <t>Fasta kostnader tillsammans</t>
  </si>
  <si>
    <t>Lönekrav för eget arbete</t>
  </si>
  <si>
    <t>Lönekrav för eget arbete tillsammans</t>
  </si>
  <si>
    <t>Produktionskostnader</t>
  </si>
  <si>
    <t>Produktionskostnader tillsammans</t>
  </si>
  <si>
    <t>Företagarens vinst</t>
  </si>
  <si>
    <t>Företagarens vinst tillsammans</t>
  </si>
  <si>
    <t xml:space="preserve">Lönsamhetskalkylerna består först av inkomsterna. Därefter kommer utgifterna. Kalkylerna innehåller mycket bakgrundsinformation och bakgrundsuträkningar, dit du kommer genom att klicka på det understräckade. </t>
  </si>
  <si>
    <t>LÖNSAMHET FÖR KONVENTIONELLT ODLAD MOROT</t>
  </si>
  <si>
    <t>Inkomster</t>
  </si>
  <si>
    <t>Försäljningsinkomster</t>
  </si>
  <si>
    <t>Summa inkomster = omsättning</t>
  </si>
  <si>
    <t>Rörliga kostnader</t>
  </si>
  <si>
    <t>€/morots-areal</t>
  </si>
  <si>
    <t>Frö</t>
  </si>
  <si>
    <t>Gödsel och kalk</t>
  </si>
  <si>
    <t>IPM Växtskydd</t>
  </si>
  <si>
    <t>Packningsmaterial</t>
  </si>
  <si>
    <t>Fraktkostnader</t>
  </si>
  <si>
    <t>Maskinkostnader och entreprenad</t>
  </si>
  <si>
    <t>Energikostnader</t>
  </si>
  <si>
    <t>Anställd arbetskraft</t>
  </si>
  <si>
    <t>ALLMÄNNA KOSTNADER, morotens andel</t>
  </si>
  <si>
    <t>LÖNSAMHET FÖR KONVENTIONELLT ODLAD KÅL</t>
  </si>
  <si>
    <t>LÖNSAMHET FÖR KONVENTIONELLT ODLAD LÖK</t>
  </si>
  <si>
    <t>LÖNSAMHET FÖR KONVENTIONELLT ODLAD TRÄDGÅRDSÄRT</t>
  </si>
  <si>
    <t>LÖNSAMHET GRÖNSAK FRÅN FRÖ 1</t>
  </si>
  <si>
    <t>LÖNSAMHET GRÖNSAK FRÅN FRÖ 2</t>
  </si>
  <si>
    <t>LÖNSAMHET GRÖNSAK FRÅN Planta 2</t>
  </si>
  <si>
    <t>LÖNSAMHET GRÖNSAK FRÅN PLANTA 3</t>
  </si>
  <si>
    <t>PLANTERAD GRÖNSAK 3</t>
  </si>
  <si>
    <t>PLANTERAD GRÖNSAK 2</t>
  </si>
  <si>
    <t>PLANTERAD GRÖNSAK 1</t>
  </si>
  <si>
    <t>HYRESKOSTNADER ÅKER, morotens andel</t>
  </si>
  <si>
    <t>Fasta kostnader, morotens andel</t>
  </si>
  <si>
    <t>Avskrivning</t>
  </si>
  <si>
    <t>Ränta</t>
  </si>
  <si>
    <t>Reparation och underhåll</t>
  </si>
  <si>
    <t xml:space="preserve">Försäkringar </t>
  </si>
  <si>
    <t>PRODUKTIONSKOSTNADER</t>
  </si>
  <si>
    <t>FÖRETAGARENS VINST</t>
  </si>
  <si>
    <t>SKÖRDEÅRENS KOSTNADER</t>
  </si>
  <si>
    <t>TILL SIDANS BÖRJAN</t>
  </si>
  <si>
    <t>FRÖ</t>
  </si>
  <si>
    <t>HEKTARKOSTNADER</t>
  </si>
  <si>
    <t>OBSERVERA</t>
  </si>
  <si>
    <t>GÖDSEL OCH KALK</t>
  </si>
  <si>
    <t>Trädgård Y2</t>
  </si>
  <si>
    <t>Trädgård NK</t>
  </si>
  <si>
    <t>Salpeter</t>
  </si>
  <si>
    <t>Dolomitkalk utspridd (7 tn med fem års mellanrum)</t>
  </si>
  <si>
    <t>gödsel X</t>
  </si>
  <si>
    <t>Trädgård Y3</t>
  </si>
  <si>
    <t>IPM VÄXTSKYDD</t>
  </si>
  <si>
    <t>Kemisk</t>
  </si>
  <si>
    <t>Biologisk</t>
  </si>
  <si>
    <t>PACKNINGSMATERIAL</t>
  </si>
  <si>
    <t>1 kg påse</t>
  </si>
  <si>
    <t>0,25 kg knippe</t>
  </si>
  <si>
    <t>0,5 kg påse</t>
  </si>
  <si>
    <t>10 kg säck</t>
  </si>
  <si>
    <t>förpackning X</t>
  </si>
  <si>
    <t>FRAKTKOSTNADER SKÖRDEÅR</t>
  </si>
  <si>
    <t>frakt X</t>
  </si>
  <si>
    <t>MASKINHYRA OCH ENTREPRENAD</t>
  </si>
  <si>
    <t>Entreprenad X</t>
  </si>
  <si>
    <t>ENERGIKOSTNADER ETABLERINGSÅRET</t>
  </si>
  <si>
    <t>El</t>
  </si>
  <si>
    <t>Brännolja för traktor</t>
  </si>
  <si>
    <t>Smörjmedel</t>
  </si>
  <si>
    <t>Bensin för gräsklippare</t>
  </si>
  <si>
    <t>energi x</t>
  </si>
  <si>
    <t>ARBETSTIDEN</t>
  </si>
  <si>
    <t xml:space="preserve">I tabellen nedan är arbetsmomenten listade på årsbasis. Du kan ändra siffrorna gällande arbetsanvändningen i de blåa rutorna. Dessutom kan du ändra arbetets enhetspris. Enhetspriset innehåller även sociala kostnader. </t>
  </si>
  <si>
    <t>ODLARFAMILJENS ARBETE</t>
  </si>
  <si>
    <t>LÖNEARBETE</t>
  </si>
  <si>
    <t>arbetsmoment x</t>
  </si>
  <si>
    <t>Försäljning av skörd</t>
  </si>
  <si>
    <t>Plogning</t>
  </si>
  <si>
    <t>Gödsling, 3 gånger</t>
  </si>
  <si>
    <t>Fräsning</t>
  </si>
  <si>
    <t>Bäddläggning</t>
  </si>
  <si>
    <t>Sådd</t>
  </si>
  <si>
    <t>Observation av växtbestånd</t>
  </si>
  <si>
    <t>Övervakning av bevattningen</t>
  </si>
  <si>
    <t>Borttagning av bevattningsutrustning</t>
  </si>
  <si>
    <t>Iställering och underhåll av bevattningsutrustning</t>
  </si>
  <si>
    <t>Utsättning och borttagning av fiberduk</t>
  </si>
  <si>
    <t>Växtskydd</t>
  </si>
  <si>
    <t>Hantering och transport av skörd från åker til lager</t>
  </si>
  <si>
    <t>Iordningställande och förpackning för försäljning</t>
  </si>
  <si>
    <t>Gödsling, 1 gånger</t>
  </si>
  <si>
    <t>Harva, 2 gånger</t>
  </si>
  <si>
    <t>Ploga</t>
  </si>
  <si>
    <t>Gödsling</t>
  </si>
  <si>
    <t>HEKTARKOSTNAD</t>
  </si>
  <si>
    <t>1 kg påse, lösvikt</t>
  </si>
  <si>
    <t>preparat X</t>
  </si>
  <si>
    <t>st/ha</t>
  </si>
  <si>
    <t>Plantor</t>
  </si>
  <si>
    <t>tillsammans</t>
  </si>
  <si>
    <t>€/kålareal</t>
  </si>
  <si>
    <t>ANDEL AV FÖRSÄLJNING</t>
  </si>
  <si>
    <t>PRIS</t>
  </si>
  <si>
    <t>påse</t>
  </si>
  <si>
    <t>knippe</t>
  </si>
  <si>
    <t>säck</t>
  </si>
  <si>
    <t>FÖRSÄLJNINGSSTORLEK</t>
  </si>
  <si>
    <t>TILL FRAMSIDAN</t>
  </si>
  <si>
    <t xml:space="preserve"> </t>
  </si>
  <si>
    <t>Andel av försäljning</t>
  </si>
  <si>
    <t>Pris</t>
  </si>
  <si>
    <t>Förpackningar</t>
  </si>
  <si>
    <t>Säck</t>
  </si>
  <si>
    <t>ALLMÄNNA KOSTNADER, kålens andel</t>
  </si>
  <si>
    <t>Fasta kostnader, kålens andel</t>
  </si>
  <si>
    <t>HYRESKOSTNADER ÅKER, kålens andel</t>
  </si>
  <si>
    <t>ALLMÄNNA KOSTNADER, grönsakens andel</t>
  </si>
  <si>
    <t>HYRESKOSTNADER ÅKER, grönsakens andel</t>
  </si>
  <si>
    <t>Fasta kostnader, grönsakens andel</t>
  </si>
  <si>
    <t>ALLMÄNNA KOSTNADER, ärtens andel</t>
  </si>
  <si>
    <t>HYRESKOSTNADER ÅKER, ärtens andel</t>
  </si>
  <si>
    <t>Fasta kostnader, ärtens andel</t>
  </si>
  <si>
    <t>ALLMÄNNA KOSTNADER, lökens andel</t>
  </si>
  <si>
    <t>HYRESKOSTNADER ÅKER, lökens andel</t>
  </si>
  <si>
    <t>Fasta kostnader, lökens andel</t>
  </si>
  <si>
    <t>€/lökareal</t>
  </si>
  <si>
    <t>PLANTOR</t>
  </si>
  <si>
    <t>KEMISK</t>
  </si>
  <si>
    <t>BIOLOGISK</t>
  </si>
  <si>
    <t>TRÄDGÅRDSÄRT</t>
  </si>
  <si>
    <t>Förpackning</t>
  </si>
  <si>
    <t>lösvikt</t>
  </si>
  <si>
    <t>€/ärtareal</t>
  </si>
  <si>
    <t>Ärter</t>
  </si>
  <si>
    <t>Växtskyddsprogrammet är vägledande, kontrollera godkända ämnen och arter från KemiDigi innan användning.</t>
  </si>
  <si>
    <t>€/grönsaksareal</t>
  </si>
  <si>
    <t>FÖRPACKNING</t>
  </si>
  <si>
    <t>Grönsak</t>
  </si>
  <si>
    <t>SKÖRDEÅRETS KOSTNADER</t>
  </si>
  <si>
    <t>LÖNSAMHET GRÖNSAK FRÅN PLANTA 1</t>
  </si>
  <si>
    <t>sts</t>
  </si>
  <si>
    <t xml:space="preserve">Lönsamhetskalkylerna består först av inkomsterna. Därefter kommer utgifterna. Eftersom det är fråga om en flerårig växt som har olika år, etableringsår, skördeår och röjningsår. Kalkylmässigt får man ett representativt år genom att fördela kostnaderna för etablerings- och röjningsåret på skördeåret. Fördelningen görs t.ex. genom att fördela plantkostnaderna på antalet skördeår. I kalkylen nedan fördelas kostnaderna på etableringsåret, skördeåren och röjningsåret.  Kalkylerna innehåller mycket bakgrundsinformation och bakgrundsuträkningar, dit du kommer genom att klicka på det understräckade.  Till exempel genom att klicka på etableringsårets kostnader kan du närmare se vilka dessa kostnader är. </t>
  </si>
  <si>
    <t>LÖNSAMHET FÖR FRILANDSJORDGUBBAR</t>
  </si>
  <si>
    <t>INKOMSTER</t>
  </si>
  <si>
    <t>LÖNSAMHET FÖR ÄPPLEN</t>
  </si>
  <si>
    <t>LÖNSAMHET FÖR BUSKBLÅBÄR</t>
  </si>
  <si>
    <t>LÖNSAMHET FÖR SVARTA VINBÄR</t>
  </si>
  <si>
    <t>TUNNEL HALLON</t>
  </si>
  <si>
    <t>FRILANDSHALLON</t>
  </si>
  <si>
    <t>LÖNSAMHET FÖR FRILANDSHALLON</t>
  </si>
  <si>
    <t>LÖNSAMHET FÖR TUNNELHALLON</t>
  </si>
  <si>
    <t>LÖNSAMHET FÖR TUNNELJORDGUBBAR</t>
  </si>
  <si>
    <t>TUNNELJORDGUBBAR</t>
  </si>
  <si>
    <t>ETABLERINGSÅRETS KOSTNADER</t>
  </si>
  <si>
    <t>€/jordgubbsareal</t>
  </si>
  <si>
    <t>Plantor och frön</t>
  </si>
  <si>
    <t>IPM Växtskudd</t>
  </si>
  <si>
    <t>Maskinhyra och entreprenad</t>
  </si>
  <si>
    <t>Anställd personal</t>
  </si>
  <si>
    <t>självplock</t>
  </si>
  <si>
    <t>låda</t>
  </si>
  <si>
    <t>ask</t>
  </si>
  <si>
    <t>Pollinering</t>
  </si>
  <si>
    <t>Förpackningsmaterial</t>
  </si>
  <si>
    <t>Frakt av produkter</t>
  </si>
  <si>
    <t>RÖJNINGSÅRETS KOSTNADER</t>
  </si>
  <si>
    <t>ALLMÄNNA KOSTNADER, jordgubbens andel</t>
  </si>
  <si>
    <t>ÅKERNS ARRENDEKOSTNADER, jordgubbens andel</t>
  </si>
  <si>
    <t>Fasta kostnader, jordgubbens andel</t>
  </si>
  <si>
    <t>Försäkringar</t>
  </si>
  <si>
    <t>MASINER OCH UTRUSTNING</t>
  </si>
  <si>
    <t>ETABLERINGSÅRETS PLANTOR OCH FRÖN</t>
  </si>
  <si>
    <t>Polka, A+ planta</t>
  </si>
  <si>
    <t>planta X</t>
  </si>
  <si>
    <t>etableringsårets radmellanrums gräs</t>
  </si>
  <si>
    <t>frö X</t>
  </si>
  <si>
    <t xml:space="preserve">I dessa kalkyler fördelas etableringsårets kostnader på skördeåren. </t>
  </si>
  <si>
    <t>ETABLERINGSÅRETS GÖDSEL OCH KALK</t>
  </si>
  <si>
    <t>tRÄDGÅRD PK</t>
  </si>
  <si>
    <t>Dolomitkalk utspritt</t>
  </si>
  <si>
    <t>gödsel  X</t>
  </si>
  <si>
    <t>ETABLERINGSÅRETS VÄXTSKYDD</t>
  </si>
  <si>
    <t>BIOLOGISKA</t>
  </si>
  <si>
    <t>Glyfosat</t>
  </si>
  <si>
    <t>ETABLERINGSÅRETS MASKINHYRA OCH ENTREPRENAD</t>
  </si>
  <si>
    <t>ETABLERINGSÅRETS ENERGIKOSTNADER</t>
  </si>
  <si>
    <t>energi X</t>
  </si>
  <si>
    <t>ETABLERINGSÅRETS ARBETSINSATS</t>
  </si>
  <si>
    <t>Harva</t>
  </si>
  <si>
    <t>Gödsla</t>
  </si>
  <si>
    <t>Bänkläggning</t>
  </si>
  <si>
    <t>Plantering</t>
  </si>
  <si>
    <t>Sådd av radmellanrums gräs</t>
  </si>
  <si>
    <t>Frostbekämpning</t>
  </si>
  <si>
    <t>Fiberduk utbredning</t>
  </si>
  <si>
    <t>Fiberduk borttagning</t>
  </si>
  <si>
    <t>Borttagning av revor</t>
  </si>
  <si>
    <t>Ogräsrensning</t>
  </si>
  <si>
    <t>Försäljning och transport av skörd</t>
  </si>
  <si>
    <t>Övervakning av bevattning</t>
  </si>
  <si>
    <t>Stenplockning</t>
  </si>
  <si>
    <t>arbetsskede X</t>
  </si>
  <si>
    <t>SKÖRDEÅRENS GÖDSEL OCH KALK</t>
  </si>
  <si>
    <t>Bevattningsgödsel 1</t>
  </si>
  <si>
    <t>Bevattningsgödsel 2</t>
  </si>
  <si>
    <t>SKÖRDEÅRETS IPM VÄXTSKYDD</t>
  </si>
  <si>
    <t>Rovkvalster</t>
  </si>
  <si>
    <t>POLLINERING</t>
  </si>
  <si>
    <t>Pollineringstjänst</t>
  </si>
  <si>
    <t>bo</t>
  </si>
  <si>
    <t>€/bo</t>
  </si>
  <si>
    <t>SKÖRDEÅRETS FÖRPACKNINGSKOSTNADER</t>
  </si>
  <si>
    <t>1 kg självplock</t>
  </si>
  <si>
    <t>5 kg låda</t>
  </si>
  <si>
    <t>3 kg bärkoppa</t>
  </si>
  <si>
    <t>0,5 kg ask</t>
  </si>
  <si>
    <t>0,25 kg ask</t>
  </si>
  <si>
    <t>SKÖRDEÅRETS FRAKT FÖR PRODUKTERNA</t>
  </si>
  <si>
    <t>SKÖRDEÅRETS MASKINHYRA OCH ENTREPRENAS</t>
  </si>
  <si>
    <t>SKÖRDEÅRETS ENERGIKOSTNADER</t>
  </si>
  <si>
    <t>Traktorbränsle</t>
  </si>
  <si>
    <t>SKÖRDEÅRETS ARBETSTID</t>
  </si>
  <si>
    <t>Fiberdukar utbredning</t>
  </si>
  <si>
    <t>Fiberdukar borttagning</t>
  </si>
  <si>
    <t>Hantering och transport av skörd</t>
  </si>
  <si>
    <t>Installering och service av bevattningsanläggning</t>
  </si>
  <si>
    <t xml:space="preserve">Övervakning av bevattnignsanläggning </t>
  </si>
  <si>
    <t>Borstning av blad</t>
  </si>
  <si>
    <t>TILL BÖRJAN AV SIDAN</t>
  </si>
  <si>
    <t xml:space="preserve">Röjningsåret liknar på många sätt skördeåren, förutom att det tillkommer kostnader för röjning och avslutning. Här under beaktas endast dessa tilläggskostnader. </t>
  </si>
  <si>
    <t>RÖJNING IOPM VÄXTSKYDD</t>
  </si>
  <si>
    <t>RÖJNINGSÅRETS MASKINHYRA OCH ENTREPRENAS</t>
  </si>
  <si>
    <t>RÖJNINGSÅRETS ENERGIKOSTNADER</t>
  </si>
  <si>
    <t>EL</t>
  </si>
  <si>
    <t>Traktorbrännolja</t>
  </si>
  <si>
    <t>Energi X</t>
  </si>
  <si>
    <t>RÖJNINGSÅRET ARBETE</t>
  </si>
  <si>
    <t>Harvning</t>
  </si>
  <si>
    <t>Borttagning av plast och bevattningsutrustning</t>
  </si>
  <si>
    <t>TRÄDGÅRD PK</t>
  </si>
  <si>
    <t>Gödsel och växtunderlag</t>
  </si>
  <si>
    <t>ALLMÄNNA KOSTNADER, jordubbens andel</t>
  </si>
  <si>
    <t>KOSTNADER FÖR ARRENDEÅKER, jordgubbens andel</t>
  </si>
  <si>
    <t>SKÖRDEÅRENS GÖDSEL OCH VÄXTUNDERLAG</t>
  </si>
  <si>
    <t>GÖDSEL</t>
  </si>
  <si>
    <t>VÄXTUNDERLAG</t>
  </si>
  <si>
    <t>Växtsäck</t>
  </si>
  <si>
    <t>växtunderlag X</t>
  </si>
  <si>
    <t>UMMA</t>
  </si>
  <si>
    <t>SKÖRDEÅRENS IPM VÄXTSKYDD</t>
  </si>
  <si>
    <t>Pollinerinstjänst</t>
  </si>
  <si>
    <t>SKÖRDEÅRENS FÖRPACKNINGSMATERIAL</t>
  </si>
  <si>
    <t>SKÖRDEÅRENS FRAKTKOSTNADER FÖR PRODUKTER</t>
  </si>
  <si>
    <t>Fraktkostnad</t>
  </si>
  <si>
    <t>SKÖRDEÅRENS ARBETSINSATS</t>
  </si>
  <si>
    <t>Plastutläggning</t>
  </si>
  <si>
    <t>Plastborttagning</t>
  </si>
  <si>
    <t>Utsättning av växtunderlag</t>
  </si>
  <si>
    <t>Försäljning och transport till kunden</t>
  </si>
  <si>
    <t>Installering och skötsel av bevattningsutrustning</t>
  </si>
  <si>
    <t>Borttagnng av plantor</t>
  </si>
  <si>
    <t>€/hallonareal</t>
  </si>
  <si>
    <t>RÖJNINGSÅRENS KOSTNADER</t>
  </si>
  <si>
    <t>ALLMÄNNA KOSTNADER, hallonens andel</t>
  </si>
  <si>
    <t>ÅKERNS ARRENDEKOSTNADER, hallonens andel</t>
  </si>
  <si>
    <t>Fasta kostnader, hallonens andel</t>
  </si>
  <si>
    <t>Hallonplantor</t>
  </si>
  <si>
    <t>Planta X</t>
  </si>
  <si>
    <t>etablerinsårets gräsfrö för radmellanrum</t>
  </si>
  <si>
    <t>Frö X</t>
  </si>
  <si>
    <t>I kalkylen fördelas etableringsårets kostnader på skördeåren</t>
  </si>
  <si>
    <t>ETABLERINGSÅRETS GÖDSEL OCH MARKFÖRBÄTTRING</t>
  </si>
  <si>
    <t>Torv</t>
  </si>
  <si>
    <t>ETABLERINGSÅRETS IPM VÄXTSKYDD</t>
  </si>
  <si>
    <t>preprat X</t>
  </si>
  <si>
    <t>Utbredning av torv</t>
  </si>
  <si>
    <t>Jämning av radmellanrum och sådd av gräs</t>
  </si>
  <si>
    <t>Bänkläggning, utbredning av duk, installering av droppbevattning</t>
  </si>
  <si>
    <t>SKÖRDEÅRENS GÖDSEL</t>
  </si>
  <si>
    <t>Bevattningsgödsel</t>
  </si>
  <si>
    <t>frakt x</t>
  </si>
  <si>
    <t>Förpackning X</t>
  </si>
  <si>
    <t>SKÖRDEÅRENS MASKINHYRA OCH ENTREPRENAS</t>
  </si>
  <si>
    <t>SKÖRDEÅRENS ENERGIKOSTNADER</t>
  </si>
  <si>
    <t>Ogräsrensing</t>
  </si>
  <si>
    <t>Skötsel av bevattningsutrustning</t>
  </si>
  <si>
    <t>Beskärning</t>
  </si>
  <si>
    <t>Stöd och band</t>
  </si>
  <si>
    <t>RÖJNINGSÅRETS IPM VÄXTSKYDD</t>
  </si>
  <si>
    <t>Krossning av växtlighet</t>
  </si>
  <si>
    <t>RÖJNINGSÅRETS ARBETSINSATS</t>
  </si>
  <si>
    <t>Rivning av stöd</t>
  </si>
  <si>
    <t>SKÖRDEÅRENAS KOSTNADER</t>
  </si>
  <si>
    <t>Hallon plantor</t>
  </si>
  <si>
    <t>SKÖRDEÅRENS VÄXTUNDERLAG OCH GÖDSEL</t>
  </si>
  <si>
    <t>Krukor</t>
  </si>
  <si>
    <t>1 kg ask</t>
  </si>
  <si>
    <t>SKÖRDEÅRENS FRAKT FÖR PRODUKTER</t>
  </si>
  <si>
    <t>SKÖRDEÅRENS MASKINHYRA OCH ENTREPRENAD</t>
  </si>
  <si>
    <t>Fyllning av krukor</t>
  </si>
  <si>
    <t>Självplock</t>
  </si>
  <si>
    <t>€/svartavinbärsareal</t>
  </si>
  <si>
    <t>ALLMÄNNA KOSTNADER, svarta vinbärens andel</t>
  </si>
  <si>
    <t>ÅKERNS ARRENDEKOSTNADER, svarta vinbärens andel</t>
  </si>
  <si>
    <t>Fasta kostnader, svarta vinbärens andel</t>
  </si>
  <si>
    <t>Lönekrav före eget arbete</t>
  </si>
  <si>
    <t>FÖRODLINGSÅRENS KOSTNADER</t>
  </si>
  <si>
    <t>Plantor vinbär</t>
  </si>
  <si>
    <t>plantor X</t>
  </si>
  <si>
    <t>Etableringsårets gräsfrö för radmellanrum</t>
  </si>
  <si>
    <t>ETABLERINSÅRETS IPM VÄXTSKYDD</t>
  </si>
  <si>
    <t>ETABLERINSÅRETS ARBETSINSATS</t>
  </si>
  <si>
    <t>Torvutbredning</t>
  </si>
  <si>
    <t>FÖRODLINGSÅRETS PLANTOR OCH FRÖ</t>
  </si>
  <si>
    <t>Tilläggsplantor</t>
  </si>
  <si>
    <t>Tilläggsfrö</t>
  </si>
  <si>
    <t>FÖRODLINGSÅRETS GÖDSEL</t>
  </si>
  <si>
    <t>Åkerkalksalpeter</t>
  </si>
  <si>
    <t>FÖRODLINGSÅRETS IPM VÄXTSKYDD</t>
  </si>
  <si>
    <t>FÖRODLINGSÅRETS MASKINHYRA OCH ENTREPRENAS</t>
  </si>
  <si>
    <t>FÖRODLINGSÅRETS ENERGIKOSTNADER</t>
  </si>
  <si>
    <t>FÖRODLINGSÅRETS ARBETSINSATS</t>
  </si>
  <si>
    <t>Tilläggsplantering</t>
  </si>
  <si>
    <t>Reparationssådd</t>
  </si>
  <si>
    <t>1 kg låda cirkulerbar</t>
  </si>
  <si>
    <t>FÖRODLINSÅRETS KOSTNADER</t>
  </si>
  <si>
    <t>IPM växtskydd</t>
  </si>
  <si>
    <t>€/buskblåbärsareal</t>
  </si>
  <si>
    <t>ALLMÄNNA KOSTNADER, buskblåbärens andel</t>
  </si>
  <si>
    <t>ÅKERNS ARRENDEKOSTNADER, buskblåbärens andel</t>
  </si>
  <si>
    <t>Fasta kostnader, buskblåbärens andel</t>
  </si>
  <si>
    <t>FÖRODLINSGÅRENS KOSTNADER</t>
  </si>
  <si>
    <t>Plantor buskblåbär</t>
  </si>
  <si>
    <t>Etablerinsårets radmellanrums gräsfrö</t>
  </si>
  <si>
    <t>Ogråsrensning</t>
  </si>
  <si>
    <t>FÖRDOLINGSÅRETS PLANTOR OCH FRÖN</t>
  </si>
  <si>
    <t>Tilläggsfrön</t>
  </si>
  <si>
    <t>FÖRODLINGSÅRENS POLLINERING</t>
  </si>
  <si>
    <t>FÖRODLINGSÅRENS FRAKTKOSTNADER FÖR PRODUKTER</t>
  </si>
  <si>
    <t>FÖRODLINGSÅRENS ARBETSINSATS</t>
  </si>
  <si>
    <t>Tilläggssådd av gräs</t>
  </si>
  <si>
    <t>Underhåll av bevattningsutrustning</t>
  </si>
  <si>
    <t>Allmänna kostnader</t>
  </si>
  <si>
    <t>Arrende för åker</t>
  </si>
  <si>
    <t>Gödsel</t>
  </si>
  <si>
    <t>Allmänna kostander</t>
  </si>
  <si>
    <t>Byggnader</t>
  </si>
  <si>
    <t>Maskiner och utrustning</t>
  </si>
  <si>
    <t>Långvariga produktionsmedel</t>
  </si>
  <si>
    <t>Plantor och frö</t>
  </si>
  <si>
    <t>€/äppelareal</t>
  </si>
  <si>
    <t>FÖRODLINGSÅRETS KOSTNADER</t>
  </si>
  <si>
    <t>Fasta kostnader, äpplets andel</t>
  </si>
  <si>
    <t>ÅKERNS ARRENDEKOSTNADER, äpplets andel</t>
  </si>
  <si>
    <t>ALLMÄNNA KOSTNADER,äpplets andel</t>
  </si>
  <si>
    <t>Plantor äpple</t>
  </si>
  <si>
    <t>Etaberlingsårets radmellanrums gräs</t>
  </si>
  <si>
    <t>ETABLERINGSÅRETS GÖDSEL, KALK OCH MARKFÖRBÄTTRING</t>
  </si>
  <si>
    <t>Trädgård PK</t>
  </si>
  <si>
    <t>Trädgård Y1</t>
  </si>
  <si>
    <t>Åsplogning och utjämning</t>
  </si>
  <si>
    <t>Planteringsbeskärning</t>
  </si>
  <si>
    <t>Utjämning av radmellanrum och grässådd</t>
  </si>
  <si>
    <t>Staketbygge (harar)</t>
  </si>
  <si>
    <t>Övervakning av bevttning</t>
  </si>
  <si>
    <t>FÖRODLINGENS KOSTNADER</t>
  </si>
  <si>
    <t>Tilläggsgräsfrö</t>
  </si>
  <si>
    <t>1 kg LÖSVIKT</t>
  </si>
  <si>
    <t>3 kg påse</t>
  </si>
  <si>
    <t>10 kg låda</t>
  </si>
  <si>
    <t>Tilläggs sådd av gräs</t>
  </si>
  <si>
    <t>Böjning</t>
  </si>
  <si>
    <t>Service av bevattningsutrustning</t>
  </si>
  <si>
    <t>Försäljningn och transport av skörd</t>
  </si>
  <si>
    <t>1 kg lösvikt</t>
  </si>
  <si>
    <t>Plock och destruering av kvistar</t>
  </si>
  <si>
    <t>HAVRE</t>
  </si>
  <si>
    <t>KORN</t>
  </si>
  <si>
    <t>VETE</t>
  </si>
  <si>
    <t>HÖSTRÅG</t>
  </si>
  <si>
    <t>NATURVÅRDSÅKER</t>
  </si>
  <si>
    <t>VALL</t>
  </si>
  <si>
    <t>HAVRE LÖNSAMHET</t>
  </si>
  <si>
    <t>Rörliga Kostnader</t>
  </si>
  <si>
    <t xml:space="preserve">Anställd arbetskraft </t>
  </si>
  <si>
    <t>€/havreareal</t>
  </si>
  <si>
    <t>PRODUKTONSKOSTNADER</t>
  </si>
  <si>
    <t>Fasta kostnader, havrens andel</t>
  </si>
  <si>
    <t>ÅKERNS ARRENDEKOSTNADER, havrens andel</t>
  </si>
  <si>
    <t>ALLMÄNNA KOSTNADER, havrens andel</t>
  </si>
  <si>
    <t>ALLMÄNNA KOSTNADER, kornets andel</t>
  </si>
  <si>
    <t>ÅKERNS ARRENDEKOSTNADER, kornets andel</t>
  </si>
  <si>
    <t>Fasta kostnader, kornets andel</t>
  </si>
  <si>
    <t>ALLMÄNNA KOSTNADER, vetets andel</t>
  </si>
  <si>
    <t>ÅKERNS ARRENDEKOSTNADER, vetets andel</t>
  </si>
  <si>
    <t>Fasta kostnader, hetets andel</t>
  </si>
  <si>
    <t>KORN LÖNSAMHET</t>
  </si>
  <si>
    <t>VETE LÖNSAMHET</t>
  </si>
  <si>
    <t>HÖSTRÅG LÖNSAMHET</t>
  </si>
  <si>
    <t>ALLMÄNNA KOSTNADER, höstrågens andel</t>
  </si>
  <si>
    <t>ÅKERNS ARRENDEKOSTNADER, höstrågens andel</t>
  </si>
  <si>
    <t>Fasta kostnader, höstrågens andel</t>
  </si>
  <si>
    <t>Entreprenadskörd</t>
  </si>
  <si>
    <t>Entreprenadtorkning</t>
  </si>
  <si>
    <t>ARBETSINSATS</t>
  </si>
  <si>
    <t>Harvning 2 ggr</t>
  </si>
  <si>
    <t>Växttskydd</t>
  </si>
  <si>
    <t xml:space="preserve">ETABLERINGSÅRETS ENERGIKOSTNADER </t>
  </si>
  <si>
    <t>Krossning</t>
  </si>
  <si>
    <t xml:space="preserve">IPM VÄXTSKYDD  </t>
  </si>
  <si>
    <t>NATURVÅRDSÅKERNS LÖNSAMHET</t>
  </si>
  <si>
    <t>VALLENS LÖNSAMHET</t>
  </si>
  <si>
    <t>ALLMÄNNA KOSTNADER, naturvårdsåkerns andel</t>
  </si>
  <si>
    <t>ÅKERNS ARRENDEKOSTNADER, naturvårdsåkerns andel</t>
  </si>
  <si>
    <t>Fasta kostnader, naturvårdsåkerns andel</t>
  </si>
  <si>
    <t>ALLMÄNNA KOSTNADER, vallens andel</t>
  </si>
  <si>
    <t>ÅKERNS ARRENDEKOSTNADER, vallens andel</t>
  </si>
  <si>
    <t>Fasta kostnader, vallens andel</t>
  </si>
  <si>
    <t>€/kornareal</t>
  </si>
  <si>
    <t>€/veteareal</t>
  </si>
  <si>
    <t>€/rågareal</t>
  </si>
  <si>
    <t>€/naturvårdsåker</t>
  </si>
  <si>
    <t>€/vallareal</t>
  </si>
  <si>
    <t>KOSTNADER SOM UPPKOMMER FRÅN EGENDOMEN</t>
  </si>
  <si>
    <t>Kalkyleringsår</t>
  </si>
  <si>
    <t>Ränteprocent</t>
  </si>
  <si>
    <t>Försäkringskostnad</t>
  </si>
  <si>
    <t>STÖDOMRÅDEN</t>
  </si>
  <si>
    <t>STÖD 2021</t>
  </si>
  <si>
    <t>Stödet i användning, välj</t>
  </si>
  <si>
    <t>På vilken areal är stödet i använding</t>
  </si>
  <si>
    <t>Grundstöd</t>
  </si>
  <si>
    <t>Förgröningsstöd</t>
  </si>
  <si>
    <t>LFA-stöd</t>
  </si>
  <si>
    <t>Miljöstödets åtgärder</t>
  </si>
  <si>
    <t>Styrningsområdet</t>
  </si>
  <si>
    <t>Balanserad använding av näringsämnen</t>
  </si>
  <si>
    <t>trädgårdsväxter</t>
  </si>
  <si>
    <t>Alternativ växtskydd för trädgårdsväxter</t>
  </si>
  <si>
    <t xml:space="preserve">       Metodgrupp I</t>
  </si>
  <si>
    <t xml:space="preserve">       Metodgrupp II</t>
  </si>
  <si>
    <t>Växttäcke vintertid</t>
  </si>
  <si>
    <t xml:space="preserve">       20 % växttäcke</t>
  </si>
  <si>
    <t xml:space="preserve">       40 %växttäcke</t>
  </si>
  <si>
    <t xml:space="preserve">       60 % växttäcke</t>
  </si>
  <si>
    <t xml:space="preserve">       80 % växttäcke</t>
  </si>
  <si>
    <t>Ja</t>
  </si>
  <si>
    <t>Nej</t>
  </si>
  <si>
    <t>Årsmodell</t>
  </si>
  <si>
    <t>Användningstid, år</t>
  </si>
  <si>
    <t>Inköpsvärde, €</t>
  </si>
  <si>
    <t>Restvärde, €</t>
  </si>
  <si>
    <t>Reparations- och underhålls-%</t>
  </si>
  <si>
    <r>
      <rPr>
        <b/>
        <sz val="14"/>
        <rFont val="Arial"/>
        <family val="2"/>
      </rPr>
      <t>ANVÄNDNINGSANDEL, %.</t>
    </r>
    <r>
      <rPr>
        <b/>
        <sz val="10"/>
        <rFont val="Arial"/>
        <family val="2"/>
      </rPr>
      <t xml:space="preserve"> Enligt denna procent fördelas växtvis avskrivning, ränta, underhåll  och försäkringskostnader. Som standard är den i förhållande till odlingsarealen. värdet kan bytas ut ifall det finns behov.</t>
    </r>
  </si>
  <si>
    <t>Tr. Ärt</t>
  </si>
  <si>
    <t>Grönsak frö 1</t>
  </si>
  <si>
    <t>Grönsak frö 2</t>
  </si>
  <si>
    <t>Grönsak plant. 1</t>
  </si>
  <si>
    <t>Grönsak plant. 2</t>
  </si>
  <si>
    <t>Grönsak plant. 3</t>
  </si>
  <si>
    <t>Svart vinbär</t>
  </si>
  <si>
    <t>naturvårdsåker</t>
  </si>
  <si>
    <t>OBS!</t>
  </si>
  <si>
    <t>Summan måste vara 100, ifall det finns info på raden</t>
  </si>
  <si>
    <t xml:space="preserve">FÖRSÄKRINGSKOSTNAD, €. Denna kostnad räknas förenklat ut som en procent av inköpspriset. </t>
  </si>
  <si>
    <r>
      <rPr>
        <b/>
        <sz val="14"/>
        <rFont val="Arial"/>
        <family val="2"/>
      </rPr>
      <t xml:space="preserve">SERVICE- OCH UNDERHÅLLSKOSTNADER, €. </t>
    </r>
    <r>
      <rPr>
        <b/>
        <sz val="10"/>
        <rFont val="Arial"/>
        <family val="2"/>
      </rPr>
      <t xml:space="preserve">Denna kostnad räknas förenklat ut som en procent av inköpspriset. </t>
    </r>
  </si>
  <si>
    <r>
      <rPr>
        <b/>
        <sz val="14"/>
        <rFont val="Arial"/>
        <family val="2"/>
      </rPr>
      <t>RÄNTEKOSTNADER, €</t>
    </r>
    <r>
      <rPr>
        <b/>
        <sz val="10"/>
        <rFont val="Arial"/>
        <family val="2"/>
      </rPr>
      <t xml:space="preserve">. Ifall maskinen är äldre än användingstiden uppsår inte avskrivnings- och räntekostnader. </t>
    </r>
  </si>
  <si>
    <r>
      <rPr>
        <b/>
        <sz val="14"/>
        <rFont val="Arial"/>
        <family val="2"/>
      </rPr>
      <t xml:space="preserve">AVSKRIVNINGSKOSTNADER, €. </t>
    </r>
    <r>
      <rPr>
        <b/>
        <sz val="10"/>
        <rFont val="Arial"/>
        <family val="2"/>
      </rPr>
      <t xml:space="preserve">Avskrivningen räknas som jämn avskrivning. Ifall maskinen är äldre än användingstiden uppsår inte avskrivnings- och räntekostnader. </t>
    </r>
  </si>
  <si>
    <t>Enhetspris</t>
  </si>
  <si>
    <t>Antal</t>
  </si>
  <si>
    <t>Användningstid, är</t>
  </si>
  <si>
    <t>Inköprsvärde, €</t>
  </si>
  <si>
    <r>
      <t>Inkvarteringsutrymme, 200 m</t>
    </r>
    <r>
      <rPr>
        <vertAlign val="superscript"/>
        <sz val="14"/>
        <color rgb="FF00B050"/>
        <rFont val="Arial"/>
        <family val="2"/>
      </rPr>
      <t>2</t>
    </r>
  </si>
  <si>
    <r>
      <t>Packeri/lådlager, 100 m</t>
    </r>
    <r>
      <rPr>
        <vertAlign val="superscript"/>
        <sz val="14"/>
        <color rgb="FF00B050"/>
        <rFont val="Arial"/>
        <family val="2"/>
      </rPr>
      <t>2</t>
    </r>
  </si>
  <si>
    <r>
      <t>Maskinhall, 250 m</t>
    </r>
    <r>
      <rPr>
        <vertAlign val="superscript"/>
        <sz val="14"/>
        <rFont val="Arial"/>
        <family val="2"/>
      </rPr>
      <t>2</t>
    </r>
  </si>
  <si>
    <r>
      <t>Kylutrymme, 20 m</t>
    </r>
    <r>
      <rPr>
        <vertAlign val="superscript"/>
        <sz val="14"/>
        <color rgb="FF00B050"/>
        <rFont val="Arial"/>
        <family val="2"/>
      </rPr>
      <t>2</t>
    </r>
  </si>
  <si>
    <t>trädgårdsproduktionens byggnad X</t>
  </si>
  <si>
    <t>byggnad X</t>
  </si>
  <si>
    <t>Plockningskorg</t>
  </si>
  <si>
    <t>Bärställning för lådor</t>
  </si>
  <si>
    <t>Våg</t>
  </si>
  <si>
    <t>Forstbekämpningsutrustning</t>
  </si>
  <si>
    <t>Droppbevattningsutrustning</t>
  </si>
  <si>
    <t>Droppslangar</t>
  </si>
  <si>
    <t>Gödselblandare</t>
  </si>
  <si>
    <t>Fiberdukar 17 g/m2</t>
  </si>
  <si>
    <t>Vinter fiberdukar 23 g/m2, talvisuojaus</t>
  </si>
  <si>
    <t>Jordgubbsplast</t>
  </si>
  <si>
    <t>Täcktyg</t>
  </si>
  <si>
    <t>Ryggspruta</t>
  </si>
  <si>
    <t>Handverktyg</t>
  </si>
  <si>
    <t>Växttunnel ram inkl. Uppsättning</t>
  </si>
  <si>
    <t>Växttunnelplast</t>
  </si>
  <si>
    <t>trädgårdsproduktionsmedel X</t>
  </si>
  <si>
    <t>Till Byggnader räknas alla byggnader som har en grund. Alltså lätta växttunnlar räknas inte som byggnader utan klassificeras som långvariga produktonsmedel. Med byggnadernas införskaffningspris menar man materialkostnader samt arbetskostnader, dvs alla kostnader som behövs för att få ifrågavarande byggnad. Endel byggnader används endast för trädgårdsproduktionen såsom inkvarteringsutrmmen och packerier. Dessa byggnaders kostnader riktas endast in på de växter som behöver dem. Byggnader som endast används av trädgårdsproduktionen är märkade med grön färg. Byggnader som är märkade med svart färg används av alla växterna. Byggnadernas användingstid kan redigeras på Ägendoms-bladet.</t>
  </si>
  <si>
    <t>ÅKERVÄXTER</t>
  </si>
  <si>
    <t>Åker arrende</t>
  </si>
  <si>
    <t>Eget arbete</t>
  </si>
  <si>
    <t>Åkerns arrende</t>
  </si>
  <si>
    <t>Sättlök</t>
  </si>
  <si>
    <t>Åkerarrende</t>
  </si>
  <si>
    <t>Långvariga produktionsförnödenheter</t>
  </si>
  <si>
    <t>,</t>
  </si>
  <si>
    <t>långvariga produktionsmedel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</si>
</sst>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00"/>
    <numFmt numFmtId="166" formatCode="#,##0.000"/>
    <numFmt numFmtId="167" formatCode="0.0\ %"/>
  </numFmts>
  <fonts count="78" x14ac:knownFonts="1">
    <font>
      <sz val="10"/>
      <name val="Arial"/>
    </font>
    <font>
      <sz val="10"/>
      <name val="Arial"/>
      <family val="2"/>
    </font>
    <font>
      <sz val="8"/>
      <name val="Arial"/>
      <family val="2"/>
    </font>
    <font>
      <b/>
      <sz val="10"/>
      <name val="Arial"/>
      <family val="2"/>
    </font>
    <font>
      <sz val="10"/>
      <name val="Arial"/>
      <family val="2"/>
    </font>
    <font>
      <i/>
      <sz val="10"/>
      <name val="Arial"/>
      <family val="2"/>
    </font>
    <font>
      <b/>
      <sz val="12"/>
      <name val="Arial"/>
      <family val="2"/>
    </font>
    <font>
      <b/>
      <sz val="16"/>
      <name val="Arial"/>
      <family val="2"/>
    </font>
    <font>
      <b/>
      <i/>
      <sz val="10"/>
      <name val="Arial"/>
      <family val="2"/>
    </font>
    <font>
      <sz val="10"/>
      <color indexed="8"/>
      <name val="Arial"/>
      <family val="2"/>
    </font>
    <font>
      <u/>
      <sz val="10"/>
      <color theme="10"/>
      <name val="Arial"/>
      <family val="2"/>
    </font>
    <font>
      <sz val="10"/>
      <color theme="1"/>
      <name val="Arial"/>
      <family val="2"/>
    </font>
    <font>
      <sz val="10"/>
      <color rgb="FFFF0000"/>
      <name val="Arial"/>
      <family val="2"/>
    </font>
    <font>
      <b/>
      <sz val="10"/>
      <color rgb="FFC00000"/>
      <name val="Arial"/>
      <family val="2"/>
    </font>
    <font>
      <sz val="10"/>
      <color rgb="FFC00000"/>
      <name val="Arial"/>
      <family val="2"/>
    </font>
    <font>
      <i/>
      <sz val="10"/>
      <color rgb="FFC00000"/>
      <name val="Arial"/>
      <family val="2"/>
    </font>
    <font>
      <b/>
      <sz val="12"/>
      <color theme="1"/>
      <name val="Arial"/>
      <family val="2"/>
    </font>
    <font>
      <sz val="12"/>
      <color theme="1"/>
      <name val="Arial"/>
      <family val="2"/>
    </font>
    <font>
      <b/>
      <sz val="16"/>
      <color theme="1"/>
      <name val="Arial"/>
      <family val="2"/>
    </font>
    <font>
      <sz val="12"/>
      <name val="Arial"/>
      <family val="2"/>
    </font>
    <font>
      <sz val="14"/>
      <name val="Arial"/>
      <family val="2"/>
    </font>
    <font>
      <b/>
      <sz val="14"/>
      <name val="Arial"/>
      <family val="2"/>
    </font>
    <font>
      <sz val="10"/>
      <color theme="5" tint="0.39997558519241921"/>
      <name val="Arial"/>
      <family val="2"/>
    </font>
    <font>
      <sz val="14"/>
      <color theme="1"/>
      <name val="Arial"/>
      <family val="2"/>
    </font>
    <font>
      <b/>
      <sz val="14"/>
      <color theme="1"/>
      <name val="Arial"/>
      <family val="2"/>
    </font>
    <font>
      <u/>
      <sz val="14"/>
      <color theme="10"/>
      <name val="Arial"/>
      <family val="2"/>
    </font>
    <font>
      <u/>
      <sz val="14"/>
      <color theme="1"/>
      <name val="Arial"/>
      <family val="2"/>
    </font>
    <font>
      <u/>
      <sz val="12"/>
      <color theme="10"/>
      <name val="Arial"/>
      <family val="2"/>
    </font>
    <font>
      <b/>
      <sz val="20"/>
      <name val="Arial"/>
      <family val="2"/>
    </font>
    <font>
      <sz val="10"/>
      <color rgb="FF000000"/>
      <name val="Arial"/>
      <family val="2"/>
    </font>
    <font>
      <sz val="16"/>
      <name val="Arial"/>
      <family val="2"/>
    </font>
    <font>
      <sz val="10"/>
      <color theme="0" tint="-0.14999847407452621"/>
      <name val="Arial"/>
      <family val="2"/>
    </font>
    <font>
      <b/>
      <sz val="18"/>
      <color theme="1"/>
      <name val="Arial"/>
      <family val="2"/>
    </font>
    <font>
      <b/>
      <sz val="20"/>
      <color theme="1"/>
      <name val="Arial"/>
      <family val="2"/>
    </font>
    <font>
      <i/>
      <sz val="14"/>
      <name val="Arial"/>
      <family val="2"/>
    </font>
    <font>
      <sz val="14"/>
      <color rgb="FFFF0000"/>
      <name val="Arial"/>
      <family val="2"/>
    </font>
    <font>
      <vertAlign val="superscript"/>
      <sz val="14"/>
      <name val="Arial"/>
      <family val="2"/>
    </font>
    <font>
      <sz val="14"/>
      <color rgb="FF00B050"/>
      <name val="Arial"/>
      <family val="2"/>
    </font>
    <font>
      <i/>
      <sz val="14"/>
      <color theme="1"/>
      <name val="Arial"/>
      <family val="2"/>
    </font>
    <font>
      <i/>
      <sz val="10"/>
      <color theme="1"/>
      <name val="Arial"/>
      <family val="2"/>
    </font>
    <font>
      <i/>
      <sz val="12"/>
      <color theme="1"/>
      <name val="Arial"/>
      <family val="2"/>
    </font>
    <font>
      <i/>
      <sz val="12"/>
      <name val="Arial"/>
      <family val="2"/>
    </font>
    <font>
      <i/>
      <sz val="10"/>
      <color theme="5" tint="0.39997558519241921"/>
      <name val="Arial"/>
      <family val="2"/>
    </font>
    <font>
      <i/>
      <sz val="10"/>
      <color rgb="FF000000"/>
      <name val="Arial"/>
      <family val="2"/>
    </font>
    <font>
      <b/>
      <i/>
      <sz val="12"/>
      <color theme="1"/>
      <name val="Arial"/>
      <family val="2"/>
    </font>
    <font>
      <b/>
      <i/>
      <sz val="12"/>
      <name val="Arial"/>
      <family val="2"/>
    </font>
    <font>
      <b/>
      <sz val="18"/>
      <color rgb="FF0070C0"/>
      <name val="Arial"/>
      <family val="2"/>
    </font>
    <font>
      <b/>
      <sz val="16"/>
      <color rgb="FF0070C0"/>
      <name val="Arial"/>
      <family val="2"/>
    </font>
    <font>
      <b/>
      <sz val="14"/>
      <color rgb="FF0070C0"/>
      <name val="Arial"/>
      <family val="2"/>
    </font>
    <font>
      <b/>
      <i/>
      <sz val="16"/>
      <color rgb="FF0070C0"/>
      <name val="Arial"/>
      <family val="2"/>
    </font>
    <font>
      <b/>
      <i/>
      <sz val="14"/>
      <color rgb="FF0070C0"/>
      <name val="Arial"/>
      <family val="2"/>
    </font>
    <font>
      <sz val="10"/>
      <color rgb="FF0070C0"/>
      <name val="Arial"/>
      <family val="2"/>
    </font>
    <font>
      <sz val="14"/>
      <color theme="0"/>
      <name val="Arial"/>
      <family val="2"/>
    </font>
    <font>
      <sz val="12"/>
      <color rgb="FFFF0000"/>
      <name val="Arial"/>
      <family val="2"/>
    </font>
    <font>
      <b/>
      <sz val="12"/>
      <color rgb="FFFF0000"/>
      <name val="Arial"/>
      <family val="2"/>
    </font>
    <font>
      <sz val="10"/>
      <color theme="0" tint="-4.9989318521683403E-2"/>
      <name val="Arial"/>
      <family val="2"/>
    </font>
    <font>
      <sz val="12"/>
      <color theme="0" tint="-4.9989318521683403E-2"/>
      <name val="Arial"/>
      <family val="2"/>
    </font>
    <font>
      <i/>
      <sz val="12"/>
      <color theme="0" tint="-4.9989318521683403E-2"/>
      <name val="Arial"/>
      <family val="2"/>
    </font>
    <font>
      <b/>
      <sz val="10"/>
      <color theme="1"/>
      <name val="Arial"/>
      <family val="2"/>
    </font>
    <font>
      <b/>
      <sz val="10"/>
      <color theme="0"/>
      <name val="Arial"/>
      <family val="2"/>
    </font>
    <font>
      <u/>
      <sz val="14"/>
      <name val="Arial"/>
      <family val="2"/>
    </font>
    <font>
      <sz val="14"/>
      <color theme="0" tint="-4.9989318521683403E-2"/>
      <name val="Arial"/>
      <family val="2"/>
    </font>
    <font>
      <u/>
      <sz val="12"/>
      <color rgb="FF0070C0"/>
      <name val="Arial"/>
      <family val="2"/>
    </font>
    <font>
      <i/>
      <sz val="10"/>
      <color indexed="8"/>
      <name val="Arial"/>
      <family val="2"/>
    </font>
    <font>
      <u/>
      <sz val="12"/>
      <color theme="1"/>
      <name val="Arial"/>
      <family val="2"/>
    </font>
    <font>
      <b/>
      <sz val="18"/>
      <color theme="0"/>
      <name val="Arial"/>
      <family val="2"/>
    </font>
    <font>
      <i/>
      <sz val="10"/>
      <color theme="0" tint="-4.9989318521683403E-2"/>
      <name val="Arial"/>
      <family val="2"/>
    </font>
    <font>
      <vertAlign val="superscript"/>
      <sz val="14"/>
      <color rgb="FF00B050"/>
      <name val="Arial"/>
      <family val="2"/>
    </font>
    <font>
      <sz val="10"/>
      <color rgb="FF00B050"/>
      <name val="Arial"/>
      <family val="2"/>
    </font>
    <font>
      <u/>
      <sz val="16"/>
      <color theme="1"/>
      <name val="Arial"/>
      <family val="2"/>
    </font>
    <font>
      <u/>
      <sz val="18"/>
      <color theme="10"/>
      <name val="Calibri"/>
      <family val="2"/>
    </font>
    <font>
      <u/>
      <sz val="18"/>
      <color theme="10"/>
      <name val="Arial"/>
      <family val="2"/>
    </font>
    <font>
      <b/>
      <sz val="10"/>
      <color rgb="FFFF0000"/>
      <name val="Arial"/>
      <family val="2"/>
    </font>
    <font>
      <b/>
      <sz val="12"/>
      <color rgb="FF0070C0"/>
      <name val="Arial"/>
      <family val="2"/>
    </font>
    <font>
      <sz val="12"/>
      <color theme="0"/>
      <name val="Arial"/>
      <family val="2"/>
    </font>
    <font>
      <i/>
      <sz val="12"/>
      <color theme="0"/>
      <name val="Arial"/>
      <family val="2"/>
    </font>
    <font>
      <sz val="10"/>
      <color theme="0"/>
      <name val="Arial"/>
      <family val="2"/>
    </font>
    <font>
      <i/>
      <sz val="10"/>
      <color theme="0"/>
      <name val="Arial"/>
      <family val="2"/>
    </font>
  </fonts>
  <fills count="44">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2" tint="-0.249977111117893"/>
        <bgColor indexed="64"/>
      </patternFill>
    </fill>
    <fill>
      <patternFill patternType="solid">
        <fgColor theme="9" tint="0.59999389629810485"/>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rgb="FFFFFF00"/>
        <bgColor indexed="64"/>
      </patternFill>
    </fill>
    <fill>
      <patternFill patternType="solid">
        <fgColor theme="6" tint="0.39997558519241921"/>
        <bgColor indexed="64"/>
      </patternFill>
    </fill>
    <fill>
      <patternFill patternType="solid">
        <fgColor rgb="FF00B050"/>
        <bgColor indexed="64"/>
      </patternFill>
    </fill>
    <fill>
      <patternFill patternType="solid">
        <fgColor theme="5"/>
        <bgColor indexed="64"/>
      </patternFill>
    </fill>
    <fill>
      <patternFill patternType="solid">
        <fgColor theme="7" tint="0.79998168889431442"/>
        <bgColor indexed="64"/>
      </patternFill>
    </fill>
    <fill>
      <patternFill patternType="solid">
        <fgColor theme="7" tint="0.79998168889431442"/>
        <bgColor rgb="FF000000"/>
      </patternFill>
    </fill>
    <fill>
      <patternFill patternType="solid">
        <fgColor theme="8" tint="0.79998168889431442"/>
        <bgColor rgb="FF000000"/>
      </patternFill>
    </fill>
    <fill>
      <patternFill patternType="solid">
        <fgColor theme="8" tint="0.39997558519241921"/>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theme="5" tint="-0.249977111117893"/>
        <bgColor indexed="64"/>
      </patternFill>
    </fill>
    <fill>
      <patternFill patternType="solid">
        <fgColor theme="7" tint="0.59999389629810485"/>
        <bgColor indexed="64"/>
      </patternFill>
    </fill>
    <fill>
      <patternFill patternType="solid">
        <fgColor theme="3" tint="0.39997558519241921"/>
        <bgColor indexed="64"/>
      </patternFill>
    </fill>
    <fill>
      <patternFill patternType="solid">
        <fgColor rgb="FF0070C0"/>
        <bgColor indexed="64"/>
      </patternFill>
    </fill>
    <fill>
      <patternFill patternType="solid">
        <fgColor rgb="FF92D050"/>
        <bgColor indexed="64"/>
      </patternFill>
    </fill>
    <fill>
      <patternFill patternType="solid">
        <fgColor rgb="FFFFFC91"/>
        <bgColor indexed="64"/>
      </patternFill>
    </fill>
    <fill>
      <patternFill patternType="solid">
        <fgColor rgb="FFF9C600"/>
        <bgColor indexed="64"/>
      </patternFill>
    </fill>
    <fill>
      <patternFill patternType="solid">
        <fgColor theme="2" tint="-0.499984740745262"/>
        <bgColor indexed="64"/>
      </patternFill>
    </fill>
    <fill>
      <patternFill patternType="solid">
        <fgColor theme="6" tint="0.79998168889431442"/>
        <bgColor indexed="64"/>
      </patternFill>
    </fill>
    <fill>
      <patternFill patternType="solid">
        <fgColor rgb="FFC00000"/>
        <bgColor indexed="64"/>
      </patternFill>
    </fill>
    <fill>
      <patternFill patternType="solid">
        <fgColor theme="0"/>
        <bgColor rgb="FF000000"/>
      </patternFill>
    </fill>
    <fill>
      <patternFill patternType="solid">
        <fgColor rgb="FFFFFF00"/>
        <bgColor rgb="FF000000"/>
      </patternFill>
    </fill>
    <fill>
      <patternFill patternType="solid">
        <fgColor theme="6" tint="-0.24997711111789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rgb="FFDAEEF3"/>
        <bgColor rgb="FF000000"/>
      </patternFill>
    </fill>
    <fill>
      <patternFill patternType="solid">
        <fgColor rgb="FFFFFFFF"/>
        <bgColor rgb="FF000000"/>
      </patternFill>
    </fill>
  </fills>
  <borders count="43">
    <border>
      <left/>
      <right/>
      <top/>
      <bottom/>
      <diagonal/>
    </border>
    <border>
      <left/>
      <right/>
      <top/>
      <bottom style="thin">
        <color indexed="64"/>
      </bottom>
      <diagonal/>
    </border>
    <border>
      <left/>
      <right/>
      <top style="thin">
        <color indexed="64"/>
      </top>
      <bottom style="thin">
        <color indexed="64"/>
      </bottom>
      <diagonal/>
    </border>
    <border>
      <left/>
      <right/>
      <top style="medium">
        <color indexed="64"/>
      </top>
      <bottom/>
      <diagonal/>
    </border>
    <border>
      <left/>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
      <left style="thin">
        <color indexed="64"/>
      </left>
      <right/>
      <top style="thin">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0070C0"/>
      </left>
      <right style="medium">
        <color rgb="FF0070C0"/>
      </right>
      <top style="medium">
        <color rgb="FF0070C0"/>
      </top>
      <bottom style="medium">
        <color rgb="FF0070C0"/>
      </bottom>
      <diagonal/>
    </border>
    <border>
      <left style="medium">
        <color rgb="FF0070C0"/>
      </left>
      <right style="medium">
        <color rgb="FF0070C0"/>
      </right>
      <top/>
      <bottom style="medium">
        <color rgb="FF0070C0"/>
      </bottom>
      <diagonal/>
    </border>
    <border>
      <left style="medium">
        <color rgb="FF0070C0"/>
      </left>
      <right/>
      <top style="medium">
        <color rgb="FF0070C0"/>
      </top>
      <bottom style="medium">
        <color rgb="FF0070C0"/>
      </bottom>
      <diagonal/>
    </border>
    <border>
      <left/>
      <right style="medium">
        <color rgb="FF0070C0"/>
      </right>
      <top style="medium">
        <color rgb="FF0070C0"/>
      </top>
      <bottom style="medium">
        <color rgb="FF0070C0"/>
      </bottom>
      <diagonal/>
    </border>
    <border>
      <left style="medium">
        <color rgb="FF0070C0"/>
      </left>
      <right style="medium">
        <color rgb="FF0070C0"/>
      </right>
      <top style="medium">
        <color rgb="FF0070C0"/>
      </top>
      <bottom/>
      <diagonal/>
    </border>
    <border>
      <left/>
      <right style="medium">
        <color rgb="FF0070C0"/>
      </right>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rgb="FF0070C0"/>
      </left>
      <right/>
      <top/>
      <bottom style="thin">
        <color indexed="64"/>
      </bottom>
      <diagonal/>
    </border>
    <border>
      <left style="thin">
        <color indexed="64"/>
      </left>
      <right style="thin">
        <color indexed="64"/>
      </right>
      <top style="thin">
        <color indexed="64"/>
      </top>
      <bottom style="thin">
        <color indexed="64"/>
      </bottom>
      <diagonal/>
    </border>
    <border>
      <left/>
      <right/>
      <top/>
      <bottom style="medium">
        <color theme="4"/>
      </bottom>
      <diagonal/>
    </border>
    <border>
      <left/>
      <right style="thin">
        <color indexed="64"/>
      </right>
      <top/>
      <bottom style="medium">
        <color theme="4"/>
      </bottom>
      <diagonal/>
    </border>
    <border>
      <left/>
      <right/>
      <top style="thin">
        <color indexed="64"/>
      </top>
      <bottom style="medium">
        <color theme="4"/>
      </bottom>
      <diagonal/>
    </border>
    <border>
      <left/>
      <right style="thin">
        <color indexed="64"/>
      </right>
      <top style="thin">
        <color indexed="64"/>
      </top>
      <bottom style="medium">
        <color theme="4"/>
      </bottom>
      <diagonal/>
    </border>
    <border>
      <left/>
      <right/>
      <top/>
      <bottom style="thin">
        <color theme="1"/>
      </bottom>
      <diagonal/>
    </border>
    <border>
      <left/>
      <right style="medium">
        <color rgb="FF0070C0"/>
      </right>
      <top/>
      <bottom style="medium">
        <color rgb="FF0070C0"/>
      </bottom>
      <diagonal/>
    </border>
    <border>
      <left style="thin">
        <color indexed="64"/>
      </left>
      <right/>
      <top/>
      <bottom style="thin">
        <color theme="1"/>
      </bottom>
      <diagonal/>
    </border>
    <border>
      <left/>
      <right style="medium">
        <color theme="4"/>
      </right>
      <top/>
      <bottom/>
      <diagonal/>
    </border>
    <border>
      <left style="medium">
        <color theme="1"/>
      </left>
      <right/>
      <top/>
      <bottom/>
      <diagonal/>
    </border>
    <border>
      <left/>
      <right style="medium">
        <color rgb="FF0070C0"/>
      </right>
      <top/>
      <bottom/>
      <diagonal/>
    </border>
  </borders>
  <cellStyleXfs count="3">
    <xf numFmtId="0" fontId="0" fillId="0" borderId="0"/>
    <xf numFmtId="0" fontId="10" fillId="0" borderId="0" applyNumberFormat="0" applyFill="0" applyBorder="0" applyAlignment="0" applyProtection="0">
      <alignment vertical="top"/>
      <protection locked="0"/>
    </xf>
    <xf numFmtId="9" fontId="1" fillId="0" borderId="0" applyFont="0" applyFill="0" applyBorder="0" applyAlignment="0" applyProtection="0"/>
  </cellStyleXfs>
  <cellXfs count="1006">
    <xf numFmtId="0" fontId="0" fillId="0" borderId="0" xfId="0"/>
    <xf numFmtId="1" fontId="0" fillId="0" borderId="0" xfId="0" applyNumberFormat="1"/>
    <xf numFmtId="0" fontId="0" fillId="0" borderId="1" xfId="0" applyBorder="1"/>
    <xf numFmtId="1" fontId="0" fillId="0" borderId="1" xfId="0" applyNumberFormat="1" applyBorder="1"/>
    <xf numFmtId="0" fontId="3" fillId="0" borderId="0" xfId="0" applyFont="1"/>
    <xf numFmtId="0" fontId="0" fillId="0" borderId="0" xfId="0" applyFill="1"/>
    <xf numFmtId="0" fontId="4" fillId="0" borderId="0" xfId="0" applyFont="1"/>
    <xf numFmtId="0" fontId="0" fillId="0" borderId="1" xfId="0" applyFill="1" applyBorder="1"/>
    <xf numFmtId="0" fontId="5" fillId="0" borderId="0" xfId="0" applyFont="1"/>
    <xf numFmtId="0" fontId="5" fillId="0" borderId="0" xfId="0" applyFont="1" applyFill="1"/>
    <xf numFmtId="0" fontId="0" fillId="0" borderId="2" xfId="0" applyBorder="1"/>
    <xf numFmtId="0" fontId="3" fillId="0" borderId="2" xfId="0" applyFont="1" applyBorder="1"/>
    <xf numFmtId="0" fontId="3" fillId="0" borderId="2" xfId="0" applyFont="1" applyBorder="1" applyAlignment="1">
      <alignment wrapText="1"/>
    </xf>
    <xf numFmtId="0" fontId="0" fillId="0" borderId="0" xfId="0" applyBorder="1"/>
    <xf numFmtId="0" fontId="3" fillId="0" borderId="0" xfId="0" applyFont="1" applyBorder="1"/>
    <xf numFmtId="0" fontId="4" fillId="0" borderId="0" xfId="0" applyFont="1" applyFill="1"/>
    <xf numFmtId="0" fontId="5" fillId="0" borderId="1" xfId="0" applyFont="1" applyBorder="1"/>
    <xf numFmtId="0" fontId="5" fillId="0" borderId="1" xfId="0" applyFont="1" applyFill="1" applyBorder="1"/>
    <xf numFmtId="1" fontId="5" fillId="0" borderId="1" xfId="0" applyNumberFormat="1" applyFont="1" applyFill="1" applyBorder="1"/>
    <xf numFmtId="1" fontId="5" fillId="0" borderId="1" xfId="0" applyNumberFormat="1" applyFont="1" applyBorder="1"/>
    <xf numFmtId="0" fontId="0" fillId="0" borderId="0" xfId="0" applyFill="1" applyBorder="1"/>
    <xf numFmtId="1" fontId="0" fillId="0" borderId="0" xfId="0" applyNumberFormat="1" applyBorder="1"/>
    <xf numFmtId="0" fontId="0" fillId="0" borderId="7" xfId="0" applyBorder="1"/>
    <xf numFmtId="2" fontId="1" fillId="0" borderId="0" xfId="0" applyNumberFormat="1" applyFont="1" applyFill="1"/>
    <xf numFmtId="0" fontId="1" fillId="0" borderId="0" xfId="0" applyFont="1"/>
    <xf numFmtId="0" fontId="11" fillId="0" borderId="0" xfId="0" applyFont="1"/>
    <xf numFmtId="0" fontId="0" fillId="0" borderId="9" xfId="0" applyBorder="1"/>
    <xf numFmtId="0" fontId="0" fillId="0" borderId="11" xfId="0" applyBorder="1"/>
    <xf numFmtId="0" fontId="0" fillId="0" borderId="12" xfId="0" applyBorder="1"/>
    <xf numFmtId="0" fontId="0" fillId="0" borderId="12" xfId="0" applyFill="1" applyBorder="1"/>
    <xf numFmtId="0" fontId="0" fillId="0" borderId="13" xfId="0" applyBorder="1"/>
    <xf numFmtId="0" fontId="4" fillId="0" borderId="0" xfId="0" applyFont="1" applyBorder="1"/>
    <xf numFmtId="0" fontId="1" fillId="0" borderId="5" xfId="0" applyFont="1" applyBorder="1" applyAlignment="1">
      <alignment horizontal="right"/>
    </xf>
    <xf numFmtId="0" fontId="0" fillId="0" borderId="15" xfId="0" applyBorder="1"/>
    <xf numFmtId="0" fontId="1" fillId="0" borderId="6" xfId="0" applyFont="1" applyBorder="1" applyAlignment="1">
      <alignment horizontal="right"/>
    </xf>
    <xf numFmtId="0" fontId="1" fillId="0" borderId="8" xfId="0" applyFont="1" applyBorder="1"/>
    <xf numFmtId="1" fontId="0" fillId="0" borderId="12" xfId="0" applyNumberFormat="1" applyBorder="1"/>
    <xf numFmtId="1" fontId="0" fillId="0" borderId="11" xfId="0" applyNumberFormat="1" applyBorder="1"/>
    <xf numFmtId="1" fontId="5" fillId="0" borderId="16" xfId="0" applyNumberFormat="1" applyFont="1" applyFill="1" applyBorder="1"/>
    <xf numFmtId="1" fontId="0" fillId="0" borderId="12" xfId="0" applyNumberFormat="1" applyFill="1" applyBorder="1"/>
    <xf numFmtId="1" fontId="0" fillId="0" borderId="0" xfId="0" applyNumberFormat="1" applyFill="1" applyBorder="1"/>
    <xf numFmtId="1" fontId="5" fillId="0" borderId="16" xfId="0" applyNumberFormat="1" applyFont="1" applyBorder="1"/>
    <xf numFmtId="1" fontId="5" fillId="0" borderId="17" xfId="0" applyNumberFormat="1" applyFont="1" applyBorder="1"/>
    <xf numFmtId="1" fontId="0" fillId="0" borderId="16" xfId="0" applyNumberFormat="1" applyBorder="1"/>
    <xf numFmtId="1" fontId="0" fillId="0" borderId="17" xfId="0" applyNumberFormat="1" applyBorder="1"/>
    <xf numFmtId="0" fontId="5" fillId="0" borderId="16" xfId="0" applyFont="1" applyFill="1" applyBorder="1"/>
    <xf numFmtId="0" fontId="12" fillId="0" borderId="0" xfId="0" applyFont="1"/>
    <xf numFmtId="0" fontId="0" fillId="0" borderId="18" xfId="0" applyBorder="1"/>
    <xf numFmtId="0" fontId="3" fillId="0" borderId="16" xfId="0" applyFont="1" applyBorder="1"/>
    <xf numFmtId="0" fontId="1" fillId="0" borderId="0" xfId="0" applyFont="1" applyFill="1"/>
    <xf numFmtId="1" fontId="1" fillId="0" borderId="0" xfId="0" applyNumberFormat="1" applyFont="1" applyBorder="1"/>
    <xf numFmtId="1" fontId="0" fillId="0" borderId="9" xfId="0" applyNumberFormat="1" applyBorder="1"/>
    <xf numFmtId="1" fontId="0" fillId="0" borderId="18" xfId="0" applyNumberFormat="1" applyBorder="1"/>
    <xf numFmtId="1" fontId="0" fillId="0" borderId="10" xfId="0" applyNumberFormat="1" applyBorder="1"/>
    <xf numFmtId="0" fontId="0" fillId="0" borderId="9" xfId="0" applyFill="1" applyBorder="1"/>
    <xf numFmtId="0" fontId="0" fillId="0" borderId="18" xfId="0" applyFill="1" applyBorder="1"/>
    <xf numFmtId="0" fontId="13" fillId="2" borderId="2" xfId="0" applyFont="1" applyFill="1" applyBorder="1" applyAlignment="1">
      <alignment horizontal="center"/>
    </xf>
    <xf numFmtId="0" fontId="13" fillId="2" borderId="2" xfId="0" applyFont="1" applyFill="1" applyBorder="1" applyAlignment="1">
      <alignment horizontal="center" wrapText="1"/>
    </xf>
    <xf numFmtId="0" fontId="14" fillId="2" borderId="0" xfId="0" applyFont="1" applyFill="1" applyBorder="1" applyAlignment="1">
      <alignment horizontal="center"/>
    </xf>
    <xf numFmtId="0" fontId="15" fillId="2" borderId="1" xfId="0" applyFont="1" applyFill="1" applyBorder="1" applyAlignment="1">
      <alignment horizontal="center"/>
    </xf>
    <xf numFmtId="0" fontId="14" fillId="2" borderId="18" xfId="0" applyFont="1" applyFill="1" applyBorder="1" applyAlignment="1">
      <alignment horizontal="center"/>
    </xf>
    <xf numFmtId="164" fontId="1" fillId="0" borderId="0" xfId="0" applyNumberFormat="1" applyFont="1" applyFill="1"/>
    <xf numFmtId="2" fontId="1" fillId="0" borderId="0" xfId="0" applyNumberFormat="1" applyFont="1"/>
    <xf numFmtId="0" fontId="8" fillId="0" borderId="1" xfId="0" applyFont="1" applyBorder="1"/>
    <xf numFmtId="0" fontId="12" fillId="0" borderId="0" xfId="0" applyFont="1" applyFill="1"/>
    <xf numFmtId="0" fontId="1" fillId="5" borderId="0" xfId="0" applyFont="1" applyFill="1"/>
    <xf numFmtId="0" fontId="9" fillId="5" borderId="0" xfId="0" applyFont="1" applyFill="1"/>
    <xf numFmtId="0" fontId="0" fillId="5" borderId="0" xfId="0" applyFill="1"/>
    <xf numFmtId="1" fontId="11" fillId="5" borderId="0" xfId="0" applyNumberFormat="1" applyFont="1" applyFill="1"/>
    <xf numFmtId="0" fontId="11" fillId="5" borderId="0" xfId="0" applyFont="1" applyFill="1"/>
    <xf numFmtId="2" fontId="1" fillId="5" borderId="0" xfId="0" applyNumberFormat="1" applyFont="1" applyFill="1"/>
    <xf numFmtId="0" fontId="5" fillId="5" borderId="0" xfId="0" applyFont="1" applyFill="1"/>
    <xf numFmtId="0" fontId="1" fillId="7" borderId="0" xfId="0" applyFont="1" applyFill="1"/>
    <xf numFmtId="2" fontId="1" fillId="7" borderId="0" xfId="0" applyNumberFormat="1" applyFont="1" applyFill="1"/>
    <xf numFmtId="164" fontId="1" fillId="7" borderId="0" xfId="0" applyNumberFormat="1" applyFont="1" applyFill="1"/>
    <xf numFmtId="0" fontId="12" fillId="7" borderId="0" xfId="0" applyFont="1" applyFill="1"/>
    <xf numFmtId="0" fontId="18" fillId="0" borderId="0" xfId="0" applyFont="1"/>
    <xf numFmtId="0" fontId="20" fillId="0" borderId="0" xfId="0" applyFont="1"/>
    <xf numFmtId="0" fontId="0" fillId="8" borderId="0" xfId="0" applyFill="1"/>
    <xf numFmtId="0" fontId="0" fillId="7" borderId="0" xfId="0" applyFill="1"/>
    <xf numFmtId="0" fontId="19" fillId="7" borderId="0" xfId="0" applyFont="1" applyFill="1" applyAlignment="1">
      <alignment horizontal="center"/>
    </xf>
    <xf numFmtId="2" fontId="19" fillId="7" borderId="0" xfId="0" applyNumberFormat="1" applyFont="1" applyFill="1" applyAlignment="1">
      <alignment horizontal="center"/>
    </xf>
    <xf numFmtId="0" fontId="1" fillId="9" borderId="0" xfId="0" applyFont="1" applyFill="1"/>
    <xf numFmtId="2" fontId="1" fillId="9" borderId="0" xfId="0" applyNumberFormat="1" applyFont="1" applyFill="1"/>
    <xf numFmtId="0" fontId="0" fillId="9" borderId="0" xfId="0" applyFill="1"/>
    <xf numFmtId="1" fontId="0" fillId="9" borderId="0" xfId="0" applyNumberFormat="1" applyFill="1"/>
    <xf numFmtId="0" fontId="0" fillId="4" borderId="0" xfId="0" applyFill="1"/>
    <xf numFmtId="0" fontId="1" fillId="10" borderId="0" xfId="0" applyFont="1" applyFill="1"/>
    <xf numFmtId="2" fontId="1" fillId="10" borderId="0" xfId="0" applyNumberFormat="1" applyFont="1" applyFill="1"/>
    <xf numFmtId="0" fontId="0" fillId="10" borderId="0" xfId="0" applyFill="1"/>
    <xf numFmtId="1" fontId="0" fillId="10" borderId="0" xfId="0" applyNumberFormat="1" applyFill="1"/>
    <xf numFmtId="0" fontId="19" fillId="0" borderId="0" xfId="0" applyFont="1"/>
    <xf numFmtId="0" fontId="7" fillId="0" borderId="0" xfId="0" quotePrefix="1" applyFont="1" applyBorder="1" applyAlignment="1">
      <alignment horizontal="left"/>
    </xf>
    <xf numFmtId="0" fontId="7" fillId="0" borderId="0" xfId="0" applyFont="1" applyBorder="1" applyAlignment="1">
      <alignment horizontal="left"/>
    </xf>
    <xf numFmtId="0" fontId="20" fillId="6" borderId="22" xfId="0" applyFont="1" applyFill="1" applyBorder="1"/>
    <xf numFmtId="0" fontId="11" fillId="6" borderId="22" xfId="0" applyFont="1" applyFill="1" applyBorder="1"/>
    <xf numFmtId="0" fontId="1" fillId="6" borderId="22" xfId="0" applyFont="1" applyFill="1" applyBorder="1"/>
    <xf numFmtId="0" fontId="0" fillId="6" borderId="22" xfId="0" applyFill="1" applyBorder="1"/>
    <xf numFmtId="1" fontId="1" fillId="6" borderId="22" xfId="0" applyNumberFormat="1" applyFont="1" applyFill="1" applyBorder="1"/>
    <xf numFmtId="2" fontId="1" fillId="6" borderId="22" xfId="0" applyNumberFormat="1" applyFont="1" applyFill="1" applyBorder="1"/>
    <xf numFmtId="0" fontId="19" fillId="20" borderId="0" xfId="0" applyFont="1" applyFill="1"/>
    <xf numFmtId="0" fontId="0" fillId="20" borderId="0" xfId="0" applyFill="1"/>
    <xf numFmtId="0" fontId="29" fillId="21" borderId="0" xfId="0" applyFont="1" applyFill="1" applyBorder="1"/>
    <xf numFmtId="164" fontId="1" fillId="21" borderId="0" xfId="0" applyNumberFormat="1" applyFont="1" applyFill="1" applyBorder="1"/>
    <xf numFmtId="0" fontId="1" fillId="20" borderId="0" xfId="0" applyFont="1" applyFill="1"/>
    <xf numFmtId="0" fontId="19" fillId="20" borderId="0" xfId="0" applyFont="1" applyFill="1" applyAlignment="1">
      <alignment horizontal="right"/>
    </xf>
    <xf numFmtId="0" fontId="19" fillId="20" borderId="0" xfId="0" applyFont="1" applyFill="1" applyAlignment="1">
      <alignment horizontal="center"/>
    </xf>
    <xf numFmtId="0" fontId="19" fillId="20" borderId="0" xfId="0" applyFont="1" applyFill="1" applyAlignment="1">
      <alignment horizontal="center"/>
    </xf>
    <xf numFmtId="0" fontId="19" fillId="20" borderId="0" xfId="0" applyFont="1" applyFill="1" applyAlignment="1">
      <alignment horizontal="right"/>
    </xf>
    <xf numFmtId="0" fontId="6" fillId="7" borderId="0" xfId="0" applyFont="1" applyFill="1"/>
    <xf numFmtId="0" fontId="6" fillId="9" borderId="0" xfId="0" applyFont="1" applyFill="1"/>
    <xf numFmtId="0" fontId="6" fillId="10" borderId="0" xfId="0" applyFont="1" applyFill="1"/>
    <xf numFmtId="0" fontId="6" fillId="20" borderId="0" xfId="0" applyFont="1" applyFill="1"/>
    <xf numFmtId="0" fontId="16" fillId="5" borderId="0" xfId="0" applyFont="1" applyFill="1"/>
    <xf numFmtId="2" fontId="0" fillId="20" borderId="0" xfId="0" applyNumberFormat="1" applyFill="1"/>
    <xf numFmtId="164" fontId="29" fillId="22" borderId="22" xfId="0" applyNumberFormat="1" applyFont="1" applyFill="1" applyBorder="1"/>
    <xf numFmtId="164" fontId="1" fillId="22" borderId="22" xfId="0" applyNumberFormat="1" applyFont="1" applyFill="1" applyBorder="1"/>
    <xf numFmtId="2" fontId="0" fillId="6" borderId="22" xfId="0" applyNumberFormat="1" applyFill="1" applyBorder="1"/>
    <xf numFmtId="1" fontId="11" fillId="6" borderId="22" xfId="0" applyNumberFormat="1" applyFont="1" applyFill="1" applyBorder="1"/>
    <xf numFmtId="164" fontId="1" fillId="6" borderId="22" xfId="0" applyNumberFormat="1" applyFont="1" applyFill="1" applyBorder="1"/>
    <xf numFmtId="0" fontId="6" fillId="23" borderId="0" xfId="0" applyFont="1" applyFill="1"/>
    <xf numFmtId="0" fontId="1" fillId="23" borderId="0" xfId="0" applyFont="1" applyFill="1"/>
    <xf numFmtId="2" fontId="1" fillId="23" borderId="0" xfId="0" applyNumberFormat="1" applyFont="1" applyFill="1"/>
    <xf numFmtId="0" fontId="0" fillId="23" borderId="0" xfId="0" applyFill="1"/>
    <xf numFmtId="1" fontId="0" fillId="23" borderId="0" xfId="0" applyNumberFormat="1" applyFill="1"/>
    <xf numFmtId="0" fontId="19" fillId="20" borderId="0" xfId="0" applyFont="1" applyFill="1" applyAlignment="1">
      <alignment horizontal="center"/>
    </xf>
    <xf numFmtId="0" fontId="19" fillId="20" borderId="0" xfId="0" applyFont="1" applyFill="1" applyAlignment="1">
      <alignment horizontal="right"/>
    </xf>
    <xf numFmtId="2" fontId="19" fillId="7" borderId="0" xfId="0" applyNumberFormat="1" applyFont="1" applyFill="1" applyAlignment="1">
      <alignment horizontal="center"/>
    </xf>
    <xf numFmtId="0" fontId="19" fillId="7" borderId="0" xfId="0" applyFont="1" applyFill="1" applyAlignment="1">
      <alignment horizontal="center"/>
    </xf>
    <xf numFmtId="0" fontId="0" fillId="16" borderId="0" xfId="0" applyFill="1"/>
    <xf numFmtId="0" fontId="24" fillId="7" borderId="1" xfId="0" applyFont="1" applyFill="1" applyBorder="1" applyAlignment="1">
      <alignment horizontal="left"/>
    </xf>
    <xf numFmtId="0" fontId="24" fillId="7" borderId="1" xfId="0" applyFont="1" applyFill="1" applyBorder="1" applyAlignment="1">
      <alignment horizontal="center"/>
    </xf>
    <xf numFmtId="0" fontId="23" fillId="7" borderId="0" xfId="0" applyFont="1" applyFill="1" applyAlignment="1">
      <alignment horizontal="center"/>
    </xf>
    <xf numFmtId="0" fontId="23" fillId="7" borderId="0" xfId="0" applyFont="1" applyFill="1" applyBorder="1" applyAlignment="1">
      <alignment wrapText="1"/>
    </xf>
    <xf numFmtId="0" fontId="23" fillId="7" borderId="0" xfId="0" applyFont="1" applyFill="1" applyBorder="1"/>
    <xf numFmtId="0" fontId="23" fillId="7" borderId="0" xfId="0" applyFont="1" applyFill="1" applyBorder="1" applyAlignment="1">
      <alignment horizontal="center"/>
    </xf>
    <xf numFmtId="0" fontId="24" fillId="7" borderId="0" xfId="0" applyFont="1" applyFill="1" applyAlignment="1">
      <alignment horizontal="center"/>
    </xf>
    <xf numFmtId="0" fontId="23" fillId="7" borderId="1" xfId="0" applyFont="1" applyFill="1" applyBorder="1"/>
    <xf numFmtId="0" fontId="23" fillId="7" borderId="1" xfId="0" applyFont="1" applyFill="1" applyBorder="1" applyAlignment="1">
      <alignment horizontal="center"/>
    </xf>
    <xf numFmtId="0" fontId="31" fillId="0" borderId="0" xfId="0" applyFont="1"/>
    <xf numFmtId="164" fontId="20" fillId="22" borderId="22" xfId="0" applyNumberFormat="1" applyFont="1" applyFill="1" applyBorder="1"/>
    <xf numFmtId="0" fontId="0" fillId="24" borderId="0" xfId="0" applyFill="1"/>
    <xf numFmtId="0" fontId="3" fillId="10" borderId="0" xfId="0" applyFont="1" applyFill="1" applyBorder="1"/>
    <xf numFmtId="0" fontId="19" fillId="5" borderId="0" xfId="0" applyFont="1" applyFill="1"/>
    <xf numFmtId="0" fontId="28" fillId="3" borderId="9" xfId="0" applyFont="1" applyFill="1" applyBorder="1"/>
    <xf numFmtId="0" fontId="0" fillId="3" borderId="18" xfId="0" applyFill="1" applyBorder="1"/>
    <xf numFmtId="0" fontId="0" fillId="3" borderId="10" xfId="0" applyFill="1" applyBorder="1"/>
    <xf numFmtId="0" fontId="20" fillId="3" borderId="12" xfId="0" applyFont="1" applyFill="1" applyBorder="1"/>
    <xf numFmtId="0" fontId="0" fillId="3" borderId="0" xfId="0" applyFill="1" applyBorder="1"/>
    <xf numFmtId="0" fontId="0" fillId="3" borderId="11" xfId="0" applyFill="1" applyBorder="1"/>
    <xf numFmtId="0" fontId="21" fillId="3" borderId="0" xfId="0" applyFont="1" applyFill="1" applyBorder="1" applyAlignment="1">
      <alignment horizontal="center"/>
    </xf>
    <xf numFmtId="0" fontId="19" fillId="3" borderId="0" xfId="0" applyFont="1" applyFill="1" applyBorder="1"/>
    <xf numFmtId="0" fontId="26" fillId="4" borderId="12" xfId="1" applyFont="1" applyFill="1" applyBorder="1" applyAlignment="1" applyProtection="1">
      <alignment horizontal="left"/>
    </xf>
    <xf numFmtId="0" fontId="20" fillId="3" borderId="0" xfId="0" applyFont="1" applyFill="1" applyBorder="1"/>
    <xf numFmtId="0" fontId="26" fillId="12" borderId="12" xfId="1" applyFont="1" applyFill="1" applyBorder="1" applyAlignment="1" applyProtection="1">
      <alignment horizontal="left"/>
    </xf>
    <xf numFmtId="0" fontId="20" fillId="3" borderId="1" xfId="0" applyFont="1" applyFill="1" applyBorder="1"/>
    <xf numFmtId="0" fontId="33" fillId="10" borderId="28" xfId="1" applyFont="1" applyFill="1" applyBorder="1" applyAlignment="1" applyProtection="1"/>
    <xf numFmtId="0" fontId="3" fillId="10" borderId="29" xfId="0" applyFont="1" applyFill="1" applyBorder="1"/>
    <xf numFmtId="0" fontId="0" fillId="10" borderId="18" xfId="0" applyFill="1" applyBorder="1"/>
    <xf numFmtId="0" fontId="0" fillId="10" borderId="10" xfId="0" applyFill="1" applyBorder="1"/>
    <xf numFmtId="0" fontId="7" fillId="10" borderId="12" xfId="0" applyFont="1" applyFill="1" applyBorder="1"/>
    <xf numFmtId="0" fontId="0" fillId="10" borderId="0" xfId="0" applyFill="1" applyBorder="1"/>
    <xf numFmtId="0" fontId="0" fillId="10" borderId="11" xfId="0" applyFill="1" applyBorder="1"/>
    <xf numFmtId="0" fontId="21" fillId="10" borderId="0" xfId="0" applyFont="1" applyFill="1" applyBorder="1" applyAlignment="1">
      <alignment horizontal="center"/>
    </xf>
    <xf numFmtId="0" fontId="30" fillId="10" borderId="16" xfId="0" applyFont="1" applyFill="1" applyBorder="1"/>
    <xf numFmtId="0" fontId="0" fillId="10" borderId="1" xfId="0" applyFill="1" applyBorder="1"/>
    <xf numFmtId="0" fontId="30" fillId="10" borderId="1" xfId="0" applyFont="1" applyFill="1" applyBorder="1" applyAlignment="1">
      <alignment horizontal="center"/>
    </xf>
    <xf numFmtId="0" fontId="0" fillId="10" borderId="17" xfId="0" applyFill="1" applyBorder="1"/>
    <xf numFmtId="0" fontId="28" fillId="24" borderId="0" xfId="0" applyFont="1" applyFill="1"/>
    <xf numFmtId="0" fontId="7" fillId="11" borderId="0" xfId="0" applyFont="1" applyFill="1" applyBorder="1" applyAlignment="1">
      <alignment horizontal="left"/>
    </xf>
    <xf numFmtId="0" fontId="20" fillId="11" borderId="0" xfId="0" quotePrefix="1" applyFont="1" applyFill="1" applyBorder="1" applyAlignment="1">
      <alignment horizontal="left" wrapText="1"/>
    </xf>
    <xf numFmtId="0" fontId="0" fillId="11" borderId="18" xfId="0" applyFill="1" applyBorder="1"/>
    <xf numFmtId="0" fontId="0" fillId="11" borderId="10" xfId="0" applyFill="1" applyBorder="1"/>
    <xf numFmtId="0" fontId="7" fillId="11" borderId="12" xfId="0" quotePrefix="1" applyFont="1" applyFill="1" applyBorder="1" applyAlignment="1">
      <alignment horizontal="left"/>
    </xf>
    <xf numFmtId="0" fontId="0" fillId="11" borderId="0" xfId="0" applyFill="1" applyBorder="1"/>
    <xf numFmtId="0" fontId="0" fillId="11" borderId="11" xfId="0" applyFill="1" applyBorder="1"/>
    <xf numFmtId="0" fontId="20" fillId="11" borderId="12" xfId="0" quotePrefix="1" applyFont="1" applyFill="1" applyBorder="1" applyAlignment="1">
      <alignment horizontal="left" wrapText="1"/>
    </xf>
    <xf numFmtId="0" fontId="20" fillId="11" borderId="12" xfId="0" applyFont="1" applyFill="1" applyBorder="1"/>
    <xf numFmtId="0" fontId="20" fillId="11" borderId="0" xfId="0" applyFont="1" applyFill="1" applyBorder="1"/>
    <xf numFmtId="0" fontId="20" fillId="11" borderId="16" xfId="0" applyFont="1" applyFill="1" applyBorder="1"/>
    <xf numFmtId="0" fontId="0" fillId="11" borderId="1" xfId="0" applyFill="1" applyBorder="1"/>
    <xf numFmtId="0" fontId="0" fillId="11" borderId="17" xfId="0" applyFill="1" applyBorder="1"/>
    <xf numFmtId="0" fontId="0" fillId="20" borderId="18" xfId="0" applyFill="1" applyBorder="1"/>
    <xf numFmtId="0" fontId="0" fillId="20" borderId="10" xfId="0" applyFill="1" applyBorder="1"/>
    <xf numFmtId="0" fontId="3" fillId="20" borderId="12" xfId="0" applyFont="1" applyFill="1" applyBorder="1"/>
    <xf numFmtId="0" fontId="1" fillId="20" borderId="0" xfId="0" applyFont="1" applyFill="1" applyBorder="1"/>
    <xf numFmtId="0" fontId="0" fillId="20" borderId="0" xfId="0" applyFill="1" applyBorder="1"/>
    <xf numFmtId="0" fontId="0" fillId="20" borderId="11" xfId="0" applyFill="1" applyBorder="1"/>
    <xf numFmtId="0" fontId="20" fillId="20" borderId="12" xfId="0" applyFont="1" applyFill="1" applyBorder="1"/>
    <xf numFmtId="0" fontId="1" fillId="20" borderId="12" xfId="0" applyFont="1" applyFill="1" applyBorder="1"/>
    <xf numFmtId="0" fontId="20" fillId="20" borderId="0" xfId="0" applyFont="1" applyFill="1" applyBorder="1"/>
    <xf numFmtId="0" fontId="20" fillId="20" borderId="16" xfId="0" applyFont="1" applyFill="1" applyBorder="1"/>
    <xf numFmtId="0" fontId="0" fillId="20" borderId="1" xfId="0" applyFill="1" applyBorder="1"/>
    <xf numFmtId="0" fontId="0" fillId="20" borderId="17" xfId="0" applyFill="1" applyBorder="1"/>
    <xf numFmtId="0" fontId="20" fillId="3" borderId="0" xfId="0" applyFont="1" applyFill="1" applyBorder="1" applyAlignment="1">
      <alignment horizontal="left"/>
    </xf>
    <xf numFmtId="0" fontId="34" fillId="3" borderId="0" xfId="0" applyFont="1" applyFill="1" applyBorder="1" applyAlignment="1">
      <alignment horizontal="left"/>
    </xf>
    <xf numFmtId="0" fontId="34" fillId="3" borderId="0" xfId="0" applyFont="1" applyFill="1" applyBorder="1"/>
    <xf numFmtId="164" fontId="20" fillId="6" borderId="22" xfId="0" applyNumberFormat="1" applyFont="1" applyFill="1" applyBorder="1"/>
    <xf numFmtId="164" fontId="20" fillId="6" borderId="23" xfId="0" applyNumberFormat="1" applyFont="1" applyFill="1" applyBorder="1"/>
    <xf numFmtId="164" fontId="34" fillId="3" borderId="0" xfId="0" applyNumberFormat="1" applyFont="1" applyFill="1" applyBorder="1"/>
    <xf numFmtId="0" fontId="21" fillId="3" borderId="0" xfId="0" applyFont="1" applyFill="1" applyBorder="1"/>
    <xf numFmtId="164" fontId="20" fillId="3" borderId="0" xfId="0" applyNumberFormat="1" applyFont="1" applyFill="1" applyBorder="1"/>
    <xf numFmtId="0" fontId="26" fillId="4" borderId="0" xfId="1" applyFont="1" applyFill="1" applyBorder="1" applyAlignment="1" applyProtection="1">
      <alignment horizontal="left"/>
    </xf>
    <xf numFmtId="0" fontId="26" fillId="12" borderId="0" xfId="1" applyFont="1" applyFill="1" applyBorder="1" applyAlignment="1" applyProtection="1">
      <alignment horizontal="left"/>
    </xf>
    <xf numFmtId="0" fontId="20" fillId="18" borderId="0" xfId="0" applyFont="1" applyFill="1" applyBorder="1" applyAlignment="1">
      <alignment horizontal="left"/>
    </xf>
    <xf numFmtId="0" fontId="34" fillId="3" borderId="12" xfId="0" applyFont="1" applyFill="1" applyBorder="1" applyAlignment="1">
      <alignment horizontal="left"/>
    </xf>
    <xf numFmtId="0" fontId="20" fillId="3" borderId="12" xfId="0" applyFont="1" applyFill="1" applyBorder="1" applyAlignment="1">
      <alignment horizontal="left"/>
    </xf>
    <xf numFmtId="0" fontId="34" fillId="3" borderId="16" xfId="0" applyFont="1" applyFill="1" applyBorder="1" applyAlignment="1">
      <alignment horizontal="left"/>
    </xf>
    <xf numFmtId="0" fontId="34" fillId="3" borderId="1" xfId="0" applyFont="1" applyFill="1" applyBorder="1" applyAlignment="1">
      <alignment horizontal="left"/>
    </xf>
    <xf numFmtId="164" fontId="34" fillId="3" borderId="1" xfId="0" applyNumberFormat="1" applyFont="1" applyFill="1" applyBorder="1"/>
    <xf numFmtId="0" fontId="34" fillId="3" borderId="1" xfId="0" applyFont="1" applyFill="1" applyBorder="1"/>
    <xf numFmtId="1" fontId="34" fillId="3" borderId="1" xfId="0" applyNumberFormat="1" applyFont="1" applyFill="1" applyBorder="1"/>
    <xf numFmtId="164" fontId="1" fillId="7" borderId="0" xfId="0" applyNumberFormat="1" applyFont="1" applyFill="1" applyBorder="1"/>
    <xf numFmtId="2" fontId="1" fillId="7" borderId="0" xfId="0" applyNumberFormat="1" applyFont="1" applyFill="1" applyBorder="1"/>
    <xf numFmtId="0" fontId="3" fillId="7" borderId="0" xfId="0" applyFont="1" applyFill="1"/>
    <xf numFmtId="0" fontId="20" fillId="11" borderId="0" xfId="0" applyFont="1" applyFill="1" applyBorder="1" applyAlignment="1">
      <alignment horizontal="right"/>
    </xf>
    <xf numFmtId="3" fontId="23" fillId="6" borderId="22" xfId="0" applyNumberFormat="1" applyFont="1" applyFill="1" applyBorder="1"/>
    <xf numFmtId="0" fontId="23" fillId="11" borderId="0" xfId="0" applyFont="1" applyFill="1" applyBorder="1"/>
    <xf numFmtId="0" fontId="20" fillId="11" borderId="1" xfId="0" applyFont="1" applyFill="1" applyBorder="1"/>
    <xf numFmtId="0" fontId="6" fillId="25" borderId="0" xfId="0" applyFont="1" applyFill="1"/>
    <xf numFmtId="0" fontId="1" fillId="25" borderId="0" xfId="0" applyFont="1" applyFill="1"/>
    <xf numFmtId="2" fontId="1" fillId="25" borderId="0" xfId="0" applyNumberFormat="1" applyFont="1" applyFill="1"/>
    <xf numFmtId="0" fontId="0" fillId="25" borderId="0" xfId="0" applyFill="1"/>
    <xf numFmtId="1" fontId="0" fillId="25" borderId="0" xfId="0" applyNumberFormat="1" applyFill="1"/>
    <xf numFmtId="0" fontId="22" fillId="4" borderId="0" xfId="0" applyFont="1" applyFill="1"/>
    <xf numFmtId="0" fontId="6" fillId="15" borderId="0" xfId="0" applyFont="1" applyFill="1"/>
    <xf numFmtId="0" fontId="1" fillId="15" borderId="0" xfId="0" applyFont="1" applyFill="1"/>
    <xf numFmtId="0" fontId="1" fillId="15" borderId="0" xfId="0" applyFont="1" applyFill="1" applyAlignment="1">
      <alignment horizontal="center"/>
    </xf>
    <xf numFmtId="2" fontId="1" fillId="15" borderId="0" xfId="0" applyNumberFormat="1" applyFont="1" applyFill="1"/>
    <xf numFmtId="0" fontId="0" fillId="15" borderId="0" xfId="0" applyFill="1"/>
    <xf numFmtId="0" fontId="1" fillId="15" borderId="0" xfId="0" applyFont="1" applyFill="1" applyAlignment="1">
      <alignment horizontal="right"/>
    </xf>
    <xf numFmtId="165" fontId="1" fillId="15" borderId="0" xfId="0" applyNumberFormat="1" applyFont="1" applyFill="1"/>
    <xf numFmtId="1" fontId="1" fillId="15" borderId="0" xfId="0" applyNumberFormat="1" applyFont="1" applyFill="1"/>
    <xf numFmtId="0" fontId="25" fillId="0" borderId="0" xfId="1" applyFont="1" applyAlignment="1" applyProtection="1">
      <alignment horizontal="left"/>
    </xf>
    <xf numFmtId="3" fontId="0" fillId="23" borderId="0" xfId="0" applyNumberFormat="1" applyFill="1"/>
    <xf numFmtId="3" fontId="0" fillId="5" borderId="0" xfId="0" applyNumberFormat="1" applyFill="1"/>
    <xf numFmtId="0" fontId="41" fillId="0" borderId="0" xfId="0" applyFont="1"/>
    <xf numFmtId="0" fontId="18" fillId="0" borderId="0" xfId="0" quotePrefix="1" applyFont="1" applyBorder="1" applyAlignment="1">
      <alignment horizontal="left"/>
    </xf>
    <xf numFmtId="0" fontId="19" fillId="4" borderId="0" xfId="0" applyFont="1" applyFill="1"/>
    <xf numFmtId="0" fontId="40" fillId="0" borderId="0" xfId="0" applyFont="1"/>
    <xf numFmtId="0" fontId="20" fillId="4" borderId="0" xfId="0" applyFont="1" applyFill="1"/>
    <xf numFmtId="0" fontId="5" fillId="7" borderId="0" xfId="0" applyFont="1" applyFill="1"/>
    <xf numFmtId="164" fontId="5" fillId="7" borderId="0" xfId="0" applyNumberFormat="1" applyFont="1" applyFill="1"/>
    <xf numFmtId="2" fontId="5" fillId="7" borderId="0" xfId="0" applyNumberFormat="1" applyFont="1" applyFill="1"/>
    <xf numFmtId="0" fontId="5" fillId="4" borderId="0" xfId="0" applyFont="1" applyFill="1"/>
    <xf numFmtId="0" fontId="5" fillId="9" borderId="0" xfId="0" applyFont="1" applyFill="1"/>
    <xf numFmtId="0" fontId="5" fillId="9" borderId="0" xfId="0" applyFont="1" applyFill="1" applyBorder="1"/>
    <xf numFmtId="2" fontId="5" fillId="9" borderId="0" xfId="0" applyNumberFormat="1" applyFont="1" applyFill="1" applyBorder="1"/>
    <xf numFmtId="2" fontId="5" fillId="9" borderId="0" xfId="0" applyNumberFormat="1" applyFont="1" applyFill="1"/>
    <xf numFmtId="1" fontId="5" fillId="9" borderId="0" xfId="0" applyNumberFormat="1" applyFont="1" applyFill="1"/>
    <xf numFmtId="0" fontId="5" fillId="10" borderId="0" xfId="0" applyFont="1" applyFill="1"/>
    <xf numFmtId="0" fontId="5" fillId="10" borderId="0" xfId="0" applyFont="1" applyFill="1" applyBorder="1"/>
    <xf numFmtId="2" fontId="5" fillId="10" borderId="0" xfId="0" applyNumberFormat="1" applyFont="1" applyFill="1" applyBorder="1"/>
    <xf numFmtId="2" fontId="5" fillId="10" borderId="0" xfId="0" applyNumberFormat="1" applyFont="1" applyFill="1"/>
    <xf numFmtId="1" fontId="5" fillId="10" borderId="0" xfId="0" applyNumberFormat="1" applyFont="1" applyFill="1"/>
    <xf numFmtId="0" fontId="5" fillId="25" borderId="0" xfId="0" applyFont="1" applyFill="1"/>
    <xf numFmtId="0" fontId="5" fillId="25" borderId="0" xfId="0" applyFont="1" applyFill="1" applyBorder="1"/>
    <xf numFmtId="2" fontId="5" fillId="25" borderId="0" xfId="0" applyNumberFormat="1" applyFont="1" applyFill="1" applyBorder="1"/>
    <xf numFmtId="2" fontId="5" fillId="25" borderId="0" xfId="0" applyNumberFormat="1" applyFont="1" applyFill="1"/>
    <xf numFmtId="1" fontId="5" fillId="25" borderId="0" xfId="0" applyNumberFormat="1" applyFont="1" applyFill="1"/>
    <xf numFmtId="0" fontId="5" fillId="15" borderId="0" xfId="0" applyFont="1" applyFill="1"/>
    <xf numFmtId="0" fontId="5" fillId="15" borderId="0" xfId="0" applyFont="1" applyFill="1" applyBorder="1"/>
    <xf numFmtId="1" fontId="5" fillId="15" borderId="0" xfId="0" applyNumberFormat="1" applyFont="1" applyFill="1"/>
    <xf numFmtId="0" fontId="41" fillId="4" borderId="0" xfId="0" applyFont="1" applyFill="1"/>
    <xf numFmtId="0" fontId="5" fillId="20" borderId="0" xfId="0" applyFont="1" applyFill="1"/>
    <xf numFmtId="0" fontId="43" fillId="21" borderId="0" xfId="0" applyFont="1" applyFill="1" applyBorder="1"/>
    <xf numFmtId="164" fontId="5" fillId="21" borderId="0" xfId="0" applyNumberFormat="1" applyFont="1" applyFill="1" applyBorder="1"/>
    <xf numFmtId="164" fontId="5" fillId="20" borderId="0" xfId="0" applyNumberFormat="1" applyFont="1" applyFill="1" applyBorder="1"/>
    <xf numFmtId="4" fontId="5" fillId="20" borderId="0" xfId="0" applyNumberFormat="1" applyFont="1" applyFill="1"/>
    <xf numFmtId="164" fontId="5" fillId="20" borderId="0" xfId="0" applyNumberFormat="1" applyFont="1" applyFill="1"/>
    <xf numFmtId="0" fontId="5" fillId="23" borderId="0" xfId="0" applyFont="1" applyFill="1"/>
    <xf numFmtId="2" fontId="5" fillId="23" borderId="0" xfId="0" applyNumberFormat="1" applyFont="1" applyFill="1"/>
    <xf numFmtId="1" fontId="5" fillId="23" borderId="0" xfId="0" applyNumberFormat="1" applyFont="1" applyFill="1"/>
    <xf numFmtId="164" fontId="5" fillId="7" borderId="0" xfId="0" applyNumberFormat="1" applyFont="1" applyFill="1" applyBorder="1"/>
    <xf numFmtId="0" fontId="5" fillId="23" borderId="0" xfId="0" applyFont="1" applyFill="1" applyBorder="1"/>
    <xf numFmtId="1" fontId="5" fillId="23" borderId="0" xfId="0" applyNumberFormat="1" applyFont="1" applyFill="1" applyBorder="1"/>
    <xf numFmtId="3" fontId="5" fillId="23" borderId="0" xfId="0" applyNumberFormat="1" applyFont="1" applyFill="1"/>
    <xf numFmtId="1" fontId="39" fillId="5" borderId="0" xfId="0" applyNumberFormat="1" applyFont="1" applyFill="1" applyBorder="1"/>
    <xf numFmtId="2" fontId="5" fillId="5" borderId="0" xfId="0" applyNumberFormat="1" applyFont="1" applyFill="1" applyBorder="1"/>
    <xf numFmtId="2" fontId="5" fillId="5" borderId="0" xfId="0" applyNumberFormat="1" applyFont="1" applyFill="1"/>
    <xf numFmtId="3" fontId="5" fillId="5" borderId="0" xfId="0" applyNumberFormat="1" applyFont="1" applyFill="1"/>
    <xf numFmtId="0" fontId="22" fillId="0" borderId="0" xfId="0" applyFont="1" applyFill="1"/>
    <xf numFmtId="0" fontId="25" fillId="3" borderId="3" xfId="1" applyFont="1" applyFill="1" applyBorder="1" applyAlignment="1" applyProtection="1">
      <alignment horizontal="left"/>
    </xf>
    <xf numFmtId="0" fontId="0" fillId="3" borderId="3" xfId="0" applyFill="1" applyBorder="1"/>
    <xf numFmtId="0" fontId="0" fillId="3" borderId="7" xfId="0" applyFill="1" applyBorder="1"/>
    <xf numFmtId="0" fontId="32" fillId="3" borderId="14" xfId="1" applyFont="1" applyFill="1" applyBorder="1" applyAlignment="1" applyProtection="1">
      <alignment horizontal="left"/>
    </xf>
    <xf numFmtId="0" fontId="25" fillId="3" borderId="0" xfId="1" applyFont="1" applyFill="1" applyBorder="1" applyAlignment="1" applyProtection="1">
      <alignment horizontal="left"/>
    </xf>
    <xf numFmtId="0" fontId="0" fillId="3" borderId="15" xfId="0" applyFill="1" applyBorder="1"/>
    <xf numFmtId="0" fontId="19" fillId="3" borderId="14" xfId="0" applyFont="1" applyFill="1" applyBorder="1"/>
    <xf numFmtId="0" fontId="17" fillId="3" borderId="0" xfId="1" applyFont="1" applyFill="1" applyBorder="1" applyAlignment="1" applyProtection="1">
      <alignment horizontal="left"/>
    </xf>
    <xf numFmtId="3" fontId="19" fillId="3" borderId="0" xfId="0" applyNumberFormat="1" applyFont="1" applyFill="1" applyBorder="1"/>
    <xf numFmtId="0" fontId="6" fillId="3" borderId="0" xfId="0" applyFont="1" applyFill="1" applyBorder="1"/>
    <xf numFmtId="0" fontId="23" fillId="3" borderId="14" xfId="1" applyFont="1" applyFill="1" applyBorder="1" applyAlignment="1" applyProtection="1">
      <alignment horizontal="left"/>
    </xf>
    <xf numFmtId="3" fontId="0" fillId="3" borderId="0" xfId="0" applyNumberFormat="1" applyFill="1" applyBorder="1"/>
    <xf numFmtId="3" fontId="20" fillId="3" borderId="0" xfId="0" applyNumberFormat="1" applyFont="1" applyFill="1" applyBorder="1"/>
    <xf numFmtId="0" fontId="20" fillId="3" borderId="15" xfId="0" applyFont="1" applyFill="1" applyBorder="1"/>
    <xf numFmtId="0" fontId="17" fillId="3" borderId="14" xfId="1" applyFont="1" applyFill="1" applyBorder="1" applyAlignment="1" applyProtection="1">
      <alignment horizontal="left"/>
    </xf>
    <xf numFmtId="0" fontId="17" fillId="3" borderId="0" xfId="0" applyFont="1" applyFill="1" applyBorder="1"/>
    <xf numFmtId="3" fontId="17" fillId="3" borderId="0" xfId="0" applyNumberFormat="1" applyFont="1" applyFill="1" applyBorder="1"/>
    <xf numFmtId="2" fontId="17" fillId="3" borderId="0" xfId="0" applyNumberFormat="1" applyFont="1" applyFill="1" applyBorder="1"/>
    <xf numFmtId="0" fontId="19" fillId="3" borderId="15" xfId="0" applyFont="1" applyFill="1" applyBorder="1"/>
    <xf numFmtId="0" fontId="44" fillId="3" borderId="0" xfId="1" applyFont="1" applyFill="1" applyBorder="1" applyAlignment="1" applyProtection="1">
      <alignment horizontal="left"/>
    </xf>
    <xf numFmtId="0" fontId="44" fillId="3" borderId="0" xfId="0" applyFont="1" applyFill="1" applyBorder="1"/>
    <xf numFmtId="3" fontId="44" fillId="3" borderId="0" xfId="0" applyNumberFormat="1" applyFont="1" applyFill="1" applyBorder="1"/>
    <xf numFmtId="0" fontId="45" fillId="3" borderId="0" xfId="0" applyFont="1" applyFill="1" applyBorder="1"/>
    <xf numFmtId="2" fontId="44" fillId="3" borderId="0" xfId="0" applyNumberFormat="1" applyFont="1" applyFill="1" applyBorder="1"/>
    <xf numFmtId="0" fontId="23" fillId="3" borderId="0" xfId="1" applyFont="1" applyFill="1" applyBorder="1" applyAlignment="1" applyProtection="1">
      <alignment horizontal="left"/>
    </xf>
    <xf numFmtId="0" fontId="11" fillId="3" borderId="0" xfId="0" applyFont="1" applyFill="1" applyBorder="1"/>
    <xf numFmtId="1" fontId="17" fillId="3" borderId="0" xfId="0" applyNumberFormat="1" applyFont="1" applyFill="1" applyBorder="1"/>
    <xf numFmtId="0" fontId="26" fillId="3" borderId="14" xfId="1" applyFont="1" applyFill="1" applyBorder="1" applyAlignment="1" applyProtection="1"/>
    <xf numFmtId="0" fontId="23" fillId="3" borderId="0" xfId="0" applyFont="1" applyFill="1" applyBorder="1"/>
    <xf numFmtId="1" fontId="23" fillId="3" borderId="0" xfId="0" applyNumberFormat="1" applyFont="1" applyFill="1" applyBorder="1"/>
    <xf numFmtId="0" fontId="40" fillId="3" borderId="14" xfId="1" applyFont="1" applyFill="1" applyBorder="1" applyAlignment="1" applyProtection="1">
      <alignment horizontal="left"/>
    </xf>
    <xf numFmtId="0" fontId="41" fillId="3" borderId="15" xfId="0" applyFont="1" applyFill="1" applyBorder="1"/>
    <xf numFmtId="0" fontId="26" fillId="3" borderId="14" xfId="1" applyFont="1" applyFill="1" applyBorder="1" applyAlignment="1" applyProtection="1">
      <alignment horizontal="left"/>
    </xf>
    <xf numFmtId="0" fontId="44" fillId="3" borderId="4" xfId="0" applyFont="1" applyFill="1" applyBorder="1" applyAlignment="1">
      <alignment horizontal="left" wrapText="1"/>
    </xf>
    <xf numFmtId="0" fontId="5" fillId="3" borderId="8" xfId="0" applyFont="1" applyFill="1" applyBorder="1"/>
    <xf numFmtId="2" fontId="19" fillId="6" borderId="22" xfId="0" applyNumberFormat="1" applyFont="1" applyFill="1" applyBorder="1"/>
    <xf numFmtId="0" fontId="46" fillId="3" borderId="5" xfId="1" applyFont="1" applyFill="1" applyBorder="1" applyAlignment="1" applyProtection="1">
      <alignment horizontal="left"/>
    </xf>
    <xf numFmtId="0" fontId="47" fillId="3" borderId="14" xfId="1" applyFont="1" applyFill="1" applyBorder="1" applyAlignment="1" applyProtection="1">
      <alignment horizontal="left"/>
    </xf>
    <xf numFmtId="3" fontId="45" fillId="3" borderId="0" xfId="0" applyNumberFormat="1" applyFont="1" applyFill="1" applyBorder="1"/>
    <xf numFmtId="0" fontId="5" fillId="3" borderId="15" xfId="0" applyFont="1" applyFill="1" applyBorder="1"/>
    <xf numFmtId="0" fontId="32" fillId="8" borderId="0" xfId="0" applyFont="1" applyFill="1"/>
    <xf numFmtId="0" fontId="40" fillId="3" borderId="0" xfId="0" applyFont="1" applyFill="1" applyBorder="1" applyAlignment="1">
      <alignment horizontal="left" wrapText="1"/>
    </xf>
    <xf numFmtId="0" fontId="44" fillId="3" borderId="0" xfId="0" applyFont="1" applyFill="1" applyBorder="1" applyAlignment="1">
      <alignment horizontal="left" wrapText="1"/>
    </xf>
    <xf numFmtId="3" fontId="44" fillId="3" borderId="0" xfId="0" applyNumberFormat="1" applyFont="1" applyFill="1" applyBorder="1" applyAlignment="1">
      <alignment horizontal="right" wrapText="1"/>
    </xf>
    <xf numFmtId="2" fontId="44" fillId="3" borderId="0" xfId="0" applyNumberFormat="1" applyFont="1" applyFill="1" applyBorder="1" applyAlignment="1">
      <alignment horizontal="right" wrapText="1"/>
    </xf>
    <xf numFmtId="0" fontId="8" fillId="3" borderId="0" xfId="0" applyFont="1" applyFill="1" applyBorder="1"/>
    <xf numFmtId="3" fontId="48" fillId="3" borderId="0" xfId="0" applyNumberFormat="1" applyFont="1" applyFill="1" applyBorder="1" applyAlignment="1">
      <alignment horizontal="right" wrapText="1"/>
    </xf>
    <xf numFmtId="0" fontId="48" fillId="3" borderId="0" xfId="0" applyFont="1" applyFill="1" applyBorder="1"/>
    <xf numFmtId="2" fontId="48" fillId="3" borderId="0" xfId="0" applyNumberFormat="1" applyFont="1" applyFill="1" applyBorder="1" applyAlignment="1">
      <alignment horizontal="right" wrapText="1"/>
    </xf>
    <xf numFmtId="3" fontId="48" fillId="3" borderId="0" xfId="0" applyNumberFormat="1" applyFont="1" applyFill="1" applyBorder="1"/>
    <xf numFmtId="0" fontId="47" fillId="3" borderId="0" xfId="0" applyFont="1" applyFill="1" applyBorder="1" applyAlignment="1">
      <alignment horizontal="left" wrapText="1"/>
    </xf>
    <xf numFmtId="0" fontId="34" fillId="20" borderId="0" xfId="0" applyFont="1" applyFill="1" applyBorder="1"/>
    <xf numFmtId="3" fontId="20" fillId="6" borderId="22" xfId="0" applyNumberFormat="1" applyFont="1" applyFill="1" applyBorder="1"/>
    <xf numFmtId="3" fontId="34" fillId="20" borderId="0" xfId="0" applyNumberFormat="1" applyFont="1" applyFill="1" applyBorder="1"/>
    <xf numFmtId="0" fontId="23" fillId="3" borderId="0" xfId="0" applyFont="1" applyFill="1" applyBorder="1" applyAlignment="1">
      <alignment horizontal="left" wrapText="1"/>
    </xf>
    <xf numFmtId="3" fontId="23" fillId="3" borderId="0" xfId="0" applyNumberFormat="1" applyFont="1" applyFill="1" applyBorder="1"/>
    <xf numFmtId="3" fontId="17" fillId="3" borderId="0" xfId="0" applyNumberFormat="1" applyFont="1" applyFill="1" applyBorder="1" applyAlignment="1">
      <alignment horizontal="right" wrapText="1"/>
    </xf>
    <xf numFmtId="2" fontId="17" fillId="3" borderId="0" xfId="0" applyNumberFormat="1" applyFont="1" applyFill="1" applyBorder="1" applyAlignment="1">
      <alignment horizontal="right" wrapText="1"/>
    </xf>
    <xf numFmtId="0" fontId="38" fillId="3" borderId="0" xfId="0" applyFont="1" applyFill="1" applyBorder="1" applyAlignment="1">
      <alignment horizontal="left" wrapText="1"/>
    </xf>
    <xf numFmtId="0" fontId="49" fillId="3" borderId="0" xfId="0" applyFont="1" applyFill="1" applyBorder="1" applyAlignment="1">
      <alignment horizontal="left" wrapText="1"/>
    </xf>
    <xf numFmtId="3" fontId="40" fillId="3" borderId="0" xfId="0" applyNumberFormat="1" applyFont="1" applyFill="1" applyBorder="1" applyAlignment="1">
      <alignment horizontal="right" wrapText="1"/>
    </xf>
    <xf numFmtId="0" fontId="50" fillId="3" borderId="0" xfId="0" applyFont="1" applyFill="1" applyBorder="1"/>
    <xf numFmtId="0" fontId="39" fillId="3" borderId="0" xfId="0" applyFont="1" applyFill="1" applyBorder="1"/>
    <xf numFmtId="0" fontId="38" fillId="3" borderId="0" xfId="0" applyFont="1" applyFill="1" applyBorder="1"/>
    <xf numFmtId="0" fontId="40" fillId="4" borderId="0" xfId="0" applyFont="1" applyFill="1"/>
    <xf numFmtId="0" fontId="40" fillId="3" borderId="0" xfId="0" applyFont="1" applyFill="1" applyBorder="1"/>
    <xf numFmtId="4" fontId="40" fillId="3" borderId="0" xfId="0" applyNumberFormat="1" applyFont="1" applyFill="1" applyBorder="1" applyAlignment="1">
      <alignment horizontal="right" wrapText="1"/>
    </xf>
    <xf numFmtId="0" fontId="40" fillId="3" borderId="14" xfId="0" applyFont="1" applyFill="1" applyBorder="1" applyAlignment="1">
      <alignment horizontal="left" wrapText="1"/>
    </xf>
    <xf numFmtId="0" fontId="23" fillId="3" borderId="14" xfId="0" applyFont="1" applyFill="1" applyBorder="1" applyAlignment="1">
      <alignment horizontal="left" wrapText="1"/>
    </xf>
    <xf numFmtId="0" fontId="47" fillId="3" borderId="14" xfId="0" applyFont="1" applyFill="1" applyBorder="1" applyAlignment="1">
      <alignment horizontal="left" wrapText="1"/>
    </xf>
    <xf numFmtId="0" fontId="38" fillId="3" borderId="14" xfId="0" applyFont="1" applyFill="1" applyBorder="1" applyAlignment="1">
      <alignment horizontal="left" wrapText="1"/>
    </xf>
    <xf numFmtId="0" fontId="40" fillId="3" borderId="15" xfId="0" applyFont="1" applyFill="1" applyBorder="1"/>
    <xf numFmtId="0" fontId="20" fillId="0" borderId="14" xfId="0" applyFont="1" applyFill="1" applyBorder="1"/>
    <xf numFmtId="3" fontId="48" fillId="3" borderId="4" xfId="0" applyNumberFormat="1" applyFont="1" applyFill="1" applyBorder="1" applyAlignment="1">
      <alignment horizontal="right" wrapText="1"/>
    </xf>
    <xf numFmtId="0" fontId="48" fillId="3" borderId="4" xfId="0" applyFont="1" applyFill="1" applyBorder="1"/>
    <xf numFmtId="4" fontId="48" fillId="3" borderId="4" xfId="0" applyNumberFormat="1" applyFont="1" applyFill="1" applyBorder="1" applyAlignment="1">
      <alignment horizontal="right" wrapText="1"/>
    </xf>
    <xf numFmtId="1" fontId="5" fillId="0" borderId="0" xfId="0" applyNumberFormat="1" applyFont="1" applyBorder="1"/>
    <xf numFmtId="0" fontId="3" fillId="15" borderId="2" xfId="0" applyFont="1" applyFill="1" applyBorder="1" applyAlignment="1">
      <alignment horizontal="center" wrapText="1"/>
    </xf>
    <xf numFmtId="1" fontId="1" fillId="0" borderId="0" xfId="0" applyNumberFormat="1" applyFont="1" applyFill="1" applyBorder="1"/>
    <xf numFmtId="164" fontId="20" fillId="22" borderId="0" xfId="0" applyNumberFormat="1" applyFont="1" applyFill="1" applyBorder="1"/>
    <xf numFmtId="2" fontId="19" fillId="3" borderId="0" xfId="0" applyNumberFormat="1" applyFont="1" applyFill="1" applyBorder="1"/>
    <xf numFmtId="0" fontId="20" fillId="10" borderId="12" xfId="0" applyFont="1" applyFill="1" applyBorder="1"/>
    <xf numFmtId="0" fontId="20" fillId="10" borderId="0" xfId="0" applyFont="1" applyFill="1" applyBorder="1"/>
    <xf numFmtId="0" fontId="47" fillId="0" borderId="0" xfId="0" applyFont="1"/>
    <xf numFmtId="0" fontId="51" fillId="0" borderId="0" xfId="0" applyFont="1"/>
    <xf numFmtId="0" fontId="0" fillId="28" borderId="0" xfId="0" applyFill="1"/>
    <xf numFmtId="0" fontId="32" fillId="28" borderId="0" xfId="0" applyFont="1" applyFill="1"/>
    <xf numFmtId="0" fontId="5" fillId="16" borderId="0" xfId="0" applyFont="1" applyFill="1"/>
    <xf numFmtId="0" fontId="20" fillId="16" borderId="0" xfId="0" applyFont="1" applyFill="1"/>
    <xf numFmtId="0" fontId="19" fillId="16" borderId="0" xfId="0" applyFont="1" applyFill="1"/>
    <xf numFmtId="0" fontId="41" fillId="16" borderId="0" xfId="0" applyFont="1" applyFill="1"/>
    <xf numFmtId="0" fontId="40" fillId="16" borderId="0" xfId="0" applyFont="1" applyFill="1"/>
    <xf numFmtId="0" fontId="22" fillId="16" borderId="0" xfId="0" applyFont="1" applyFill="1"/>
    <xf numFmtId="0" fontId="42" fillId="16" borderId="0" xfId="0" applyFont="1" applyFill="1"/>
    <xf numFmtId="0" fontId="32" fillId="16" borderId="0" xfId="0" applyFont="1" applyFill="1"/>
    <xf numFmtId="0" fontId="0" fillId="12" borderId="0" xfId="0" applyFill="1"/>
    <xf numFmtId="0" fontId="5" fillId="12" borderId="0" xfId="0" applyFont="1" applyFill="1"/>
    <xf numFmtId="0" fontId="20" fillId="12" borderId="0" xfId="0" applyFont="1" applyFill="1"/>
    <xf numFmtId="0" fontId="19" fillId="12" borderId="0" xfId="0" applyFont="1" applyFill="1"/>
    <xf numFmtId="0" fontId="41" fillId="12" borderId="0" xfId="0" applyFont="1" applyFill="1"/>
    <xf numFmtId="0" fontId="40" fillId="12" borderId="0" xfId="0" applyFont="1" applyFill="1"/>
    <xf numFmtId="0" fontId="22" fillId="12" borderId="0" xfId="0" applyFont="1" applyFill="1"/>
    <xf numFmtId="0" fontId="32" fillId="12" borderId="0" xfId="0" applyFont="1" applyFill="1"/>
    <xf numFmtId="0" fontId="0" fillId="13" borderId="0" xfId="0" applyFill="1"/>
    <xf numFmtId="0" fontId="5" fillId="13" borderId="0" xfId="0" applyFont="1" applyFill="1"/>
    <xf numFmtId="0" fontId="20" fillId="13" borderId="0" xfId="0" applyFont="1" applyFill="1"/>
    <xf numFmtId="0" fontId="19" fillId="13" borderId="0" xfId="0" applyFont="1" applyFill="1"/>
    <xf numFmtId="0" fontId="41" fillId="13" borderId="0" xfId="0" applyFont="1" applyFill="1"/>
    <xf numFmtId="0" fontId="40" fillId="13" borderId="0" xfId="0" applyFont="1" applyFill="1"/>
    <xf numFmtId="0" fontId="22" fillId="13" borderId="0" xfId="0" applyFont="1" applyFill="1"/>
    <xf numFmtId="0" fontId="32" fillId="13" borderId="0" xfId="0" applyFont="1" applyFill="1"/>
    <xf numFmtId="0" fontId="0" fillId="26" borderId="0" xfId="0" applyFill="1"/>
    <xf numFmtId="0" fontId="40" fillId="26" borderId="0" xfId="0" applyFont="1" applyFill="1"/>
    <xf numFmtId="0" fontId="21" fillId="7" borderId="0" xfId="0" applyFont="1" applyFill="1" applyAlignment="1">
      <alignment horizontal="center"/>
    </xf>
    <xf numFmtId="0" fontId="24" fillId="7" borderId="27" xfId="0" applyFont="1" applyFill="1" applyBorder="1" applyAlignment="1">
      <alignment horizontal="center"/>
    </xf>
    <xf numFmtId="0" fontId="23" fillId="7" borderId="27" xfId="0" applyFont="1" applyFill="1" applyBorder="1" applyAlignment="1">
      <alignment horizontal="center"/>
    </xf>
    <xf numFmtId="0" fontId="24" fillId="7" borderId="0" xfId="0" applyFont="1" applyFill="1" applyAlignment="1">
      <alignment horizontal="left"/>
    </xf>
    <xf numFmtId="0" fontId="47" fillId="0" borderId="0" xfId="0" applyFont="1" applyBorder="1"/>
    <xf numFmtId="0" fontId="18" fillId="3" borderId="14" xfId="0" applyFont="1" applyFill="1" applyBorder="1" applyAlignment="1">
      <alignment horizontal="left" wrapText="1"/>
    </xf>
    <xf numFmtId="0" fontId="18" fillId="3" borderId="0" xfId="0" applyFont="1" applyFill="1" applyBorder="1" applyAlignment="1">
      <alignment horizontal="left" wrapText="1"/>
    </xf>
    <xf numFmtId="0" fontId="11" fillId="3" borderId="3" xfId="0" applyFont="1" applyFill="1" applyBorder="1"/>
    <xf numFmtId="0" fontId="11" fillId="3" borderId="7" xfId="0" applyFont="1" applyFill="1" applyBorder="1"/>
    <xf numFmtId="0" fontId="18" fillId="3" borderId="14" xfId="0" applyFont="1" applyFill="1" applyBorder="1"/>
    <xf numFmtId="0" fontId="11" fillId="3" borderId="15" xfId="0" applyFont="1" applyFill="1" applyBorder="1"/>
    <xf numFmtId="0" fontId="23" fillId="3" borderId="14" xfId="0" applyFont="1" applyFill="1" applyBorder="1"/>
    <xf numFmtId="0" fontId="23" fillId="3" borderId="14" xfId="0" applyFont="1" applyFill="1" applyBorder="1" applyAlignment="1"/>
    <xf numFmtId="0" fontId="23" fillId="3" borderId="0" xfId="0" applyFont="1" applyFill="1" applyBorder="1" applyAlignment="1"/>
    <xf numFmtId="0" fontId="23" fillId="3" borderId="15" xfId="0" applyFont="1" applyFill="1" applyBorder="1"/>
    <xf numFmtId="0" fontId="38" fillId="3" borderId="14" xfId="0" applyFont="1" applyFill="1" applyBorder="1" applyAlignment="1"/>
    <xf numFmtId="0" fontId="38" fillId="3" borderId="0" xfId="0" applyFont="1" applyFill="1" applyBorder="1" applyAlignment="1"/>
    <xf numFmtId="3" fontId="38" fillId="3" borderId="0" xfId="0" applyNumberFormat="1" applyFont="1" applyFill="1" applyBorder="1"/>
    <xf numFmtId="0" fontId="38" fillId="3" borderId="15" xfId="0" applyFont="1" applyFill="1" applyBorder="1"/>
    <xf numFmtId="0" fontId="11" fillId="3" borderId="14" xfId="0" applyFont="1" applyFill="1" applyBorder="1"/>
    <xf numFmtId="0" fontId="47" fillId="3" borderId="5" xfId="0" applyFont="1" applyFill="1" applyBorder="1"/>
    <xf numFmtId="0" fontId="47" fillId="3" borderId="14" xfId="0" applyFont="1" applyFill="1" applyBorder="1"/>
    <xf numFmtId="0" fontId="47" fillId="3" borderId="0" xfId="0" applyFont="1" applyFill="1" applyBorder="1"/>
    <xf numFmtId="3" fontId="47" fillId="3" borderId="0" xfId="0" applyNumberFormat="1" applyFont="1" applyFill="1" applyBorder="1"/>
    <xf numFmtId="0" fontId="47" fillId="3" borderId="15" xfId="0" applyFont="1" applyFill="1" applyBorder="1"/>
    <xf numFmtId="0" fontId="51" fillId="3" borderId="0" xfId="0" applyFont="1" applyFill="1" applyBorder="1"/>
    <xf numFmtId="0" fontId="51" fillId="3" borderId="15" xfId="0" applyFont="1" applyFill="1" applyBorder="1"/>
    <xf numFmtId="0" fontId="51" fillId="3" borderId="4" xfId="0" applyFont="1" applyFill="1" applyBorder="1"/>
    <xf numFmtId="3" fontId="47" fillId="3" borderId="4" xfId="0" applyNumberFormat="1" applyFont="1" applyFill="1" applyBorder="1"/>
    <xf numFmtId="0" fontId="47" fillId="3" borderId="8" xfId="0" applyFont="1" applyFill="1" applyBorder="1"/>
    <xf numFmtId="0" fontId="52" fillId="3" borderId="0" xfId="0" applyFont="1" applyFill="1" applyBorder="1"/>
    <xf numFmtId="0" fontId="0" fillId="29" borderId="0" xfId="0" applyFill="1"/>
    <xf numFmtId="0" fontId="5" fillId="29" borderId="0" xfId="0" applyFont="1" applyFill="1"/>
    <xf numFmtId="0" fontId="20" fillId="29" borderId="0" xfId="0" applyFont="1" applyFill="1"/>
    <xf numFmtId="0" fontId="19" fillId="29" borderId="0" xfId="0" applyFont="1" applyFill="1"/>
    <xf numFmtId="0" fontId="41" fillId="29" borderId="0" xfId="0" applyFont="1" applyFill="1"/>
    <xf numFmtId="0" fontId="40" fillId="29" borderId="0" xfId="0" applyFont="1" applyFill="1"/>
    <xf numFmtId="0" fontId="22" fillId="29" borderId="0" xfId="0" applyFont="1" applyFill="1"/>
    <xf numFmtId="0" fontId="47" fillId="3" borderId="12" xfId="0" applyFont="1" applyFill="1" applyBorder="1"/>
    <xf numFmtId="0" fontId="26" fillId="3" borderId="12" xfId="1" applyFont="1" applyFill="1" applyBorder="1" applyAlignment="1" applyProtection="1">
      <alignment horizontal="left"/>
    </xf>
    <xf numFmtId="0" fontId="26" fillId="3" borderId="0" xfId="1" applyFont="1" applyFill="1" applyBorder="1" applyAlignment="1" applyProtection="1">
      <alignment horizontal="left"/>
    </xf>
    <xf numFmtId="0" fontId="11" fillId="6" borderId="0" xfId="0" applyFont="1" applyFill="1"/>
    <xf numFmtId="0" fontId="23" fillId="6" borderId="0" xfId="0" applyFont="1" applyFill="1"/>
    <xf numFmtId="0" fontId="11" fillId="6" borderId="31" xfId="0" applyFont="1" applyFill="1" applyBorder="1"/>
    <xf numFmtId="0" fontId="23" fillId="6" borderId="31" xfId="0" applyFont="1" applyFill="1" applyBorder="1"/>
    <xf numFmtId="164" fontId="1" fillId="22" borderId="0" xfId="0" applyNumberFormat="1" applyFont="1" applyFill="1" applyBorder="1"/>
    <xf numFmtId="0" fontId="0" fillId="3" borderId="5" xfId="0" applyFill="1" applyBorder="1"/>
    <xf numFmtId="0" fontId="0" fillId="3" borderId="14" xfId="0" applyFill="1" applyBorder="1"/>
    <xf numFmtId="0" fontId="6" fillId="3" borderId="0" xfId="0" applyFont="1" applyFill="1" applyBorder="1"/>
    <xf numFmtId="0" fontId="6" fillId="3" borderId="0" xfId="0" applyFont="1" applyFill="1" applyBorder="1" applyAlignment="1">
      <alignment horizontal="right"/>
    </xf>
    <xf numFmtId="0" fontId="5" fillId="3" borderId="14" xfId="0" applyFont="1" applyFill="1" applyBorder="1"/>
    <xf numFmtId="0" fontId="20" fillId="3" borderId="14" xfId="0" applyFont="1" applyFill="1" applyBorder="1"/>
    <xf numFmtId="0" fontId="19" fillId="3" borderId="6" xfId="0" applyFont="1" applyFill="1" applyBorder="1"/>
    <xf numFmtId="0" fontId="19" fillId="3" borderId="4" xfId="0" applyFont="1" applyFill="1" applyBorder="1"/>
    <xf numFmtId="0" fontId="19" fillId="3" borderId="8" xfId="0" applyFont="1" applyFill="1" applyBorder="1"/>
    <xf numFmtId="9" fontId="6" fillId="3" borderId="0" xfId="0" applyNumberFormat="1" applyFont="1" applyFill="1" applyBorder="1"/>
    <xf numFmtId="0" fontId="54" fillId="3" borderId="0" xfId="0" applyFont="1" applyFill="1" applyBorder="1"/>
    <xf numFmtId="9" fontId="19" fillId="6" borderId="26" xfId="2" applyFont="1" applyFill="1" applyBorder="1"/>
    <xf numFmtId="9" fontId="19" fillId="6" borderId="23" xfId="2" applyFont="1" applyFill="1" applyBorder="1"/>
    <xf numFmtId="9" fontId="19" fillId="6" borderId="22" xfId="2" applyFont="1" applyFill="1" applyBorder="1"/>
    <xf numFmtId="2" fontId="41" fillId="6" borderId="22" xfId="0" applyNumberFormat="1" applyFont="1" applyFill="1" applyBorder="1"/>
    <xf numFmtId="0" fontId="55" fillId="0" borderId="0" xfId="0" applyFont="1"/>
    <xf numFmtId="0" fontId="56" fillId="0" borderId="0" xfId="0" applyFont="1"/>
    <xf numFmtId="2" fontId="55" fillId="0" borderId="0" xfId="0" applyNumberFormat="1" applyFont="1"/>
    <xf numFmtId="2" fontId="56" fillId="0" borderId="0" xfId="0" applyNumberFormat="1" applyFont="1"/>
    <xf numFmtId="4" fontId="57" fillId="0" borderId="0" xfId="0" applyNumberFormat="1" applyFont="1"/>
    <xf numFmtId="4" fontId="55" fillId="0" borderId="0" xfId="0" applyNumberFormat="1" applyFont="1"/>
    <xf numFmtId="0" fontId="53" fillId="7" borderId="0" xfId="0" applyFont="1" applyFill="1"/>
    <xf numFmtId="1" fontId="11" fillId="9" borderId="0" xfId="0" applyNumberFormat="1" applyFont="1" applyFill="1" applyBorder="1"/>
    <xf numFmtId="1" fontId="1" fillId="15" borderId="0" xfId="0" applyNumberFormat="1" applyFont="1" applyFill="1" applyBorder="1"/>
    <xf numFmtId="0" fontId="26" fillId="11" borderId="12" xfId="1" applyFont="1" applyFill="1" applyBorder="1" applyAlignment="1" applyProtection="1">
      <alignment horizontal="left"/>
    </xf>
    <xf numFmtId="0" fontId="26" fillId="11" borderId="0" xfId="1" applyFont="1" applyFill="1" applyBorder="1" applyAlignment="1" applyProtection="1">
      <alignment horizontal="left"/>
    </xf>
    <xf numFmtId="0" fontId="20" fillId="11" borderId="0" xfId="0" quotePrefix="1" applyFont="1" applyFill="1" applyBorder="1" applyAlignment="1">
      <alignment horizontal="left" wrapText="1"/>
    </xf>
    <xf numFmtId="0" fontId="47" fillId="3" borderId="14" xfId="0" applyFont="1" applyFill="1" applyBorder="1" applyAlignment="1">
      <alignment horizontal="left" wrapText="1"/>
    </xf>
    <xf numFmtId="0" fontId="47" fillId="3" borderId="0" xfId="0" applyFont="1" applyFill="1" applyBorder="1" applyAlignment="1">
      <alignment horizontal="left" wrapText="1"/>
    </xf>
    <xf numFmtId="0" fontId="18" fillId="3" borderId="0" xfId="0" applyFont="1" applyFill="1" applyBorder="1" applyAlignment="1">
      <alignment horizontal="left" wrapText="1"/>
    </xf>
    <xf numFmtId="0" fontId="6" fillId="3" borderId="0" xfId="0" applyFont="1" applyFill="1" applyBorder="1"/>
    <xf numFmtId="0" fontId="6" fillId="3" borderId="0" xfId="0" applyFont="1" applyFill="1" applyBorder="1" applyAlignment="1">
      <alignment horizontal="left"/>
    </xf>
    <xf numFmtId="0" fontId="19" fillId="20" borderId="0" xfId="0" applyFont="1" applyFill="1" applyAlignment="1">
      <alignment horizontal="right"/>
    </xf>
    <xf numFmtId="0" fontId="19" fillId="20" borderId="0" xfId="0" applyFont="1" applyFill="1" applyAlignment="1">
      <alignment horizontal="center"/>
    </xf>
    <xf numFmtId="2" fontId="19" fillId="7" borderId="0" xfId="0" applyNumberFormat="1" applyFont="1" applyFill="1" applyAlignment="1">
      <alignment horizontal="center"/>
    </xf>
    <xf numFmtId="0" fontId="26" fillId="3" borderId="14" xfId="1" applyFont="1" applyFill="1" applyBorder="1" applyAlignment="1" applyProtection="1"/>
    <xf numFmtId="0" fontId="19" fillId="23" borderId="0" xfId="0" applyFont="1" applyFill="1" applyAlignment="1">
      <alignment horizontal="center"/>
    </xf>
    <xf numFmtId="0" fontId="19" fillId="7" borderId="0" xfId="0" applyFont="1" applyFill="1" applyAlignment="1">
      <alignment horizontal="center"/>
    </xf>
    <xf numFmtId="0" fontId="25" fillId="0" borderId="0" xfId="1" applyFont="1" applyAlignment="1" applyProtection="1">
      <alignment horizontal="left"/>
    </xf>
    <xf numFmtId="0" fontId="0" fillId="30" borderId="0" xfId="0" applyFill="1" applyBorder="1"/>
    <xf numFmtId="0" fontId="0" fillId="31" borderId="0" xfId="0" applyFill="1" applyBorder="1"/>
    <xf numFmtId="0" fontId="0" fillId="32" borderId="0" xfId="0" applyFill="1" applyBorder="1"/>
    <xf numFmtId="0" fontId="3" fillId="32" borderId="13" xfId="0" applyFont="1" applyFill="1" applyBorder="1"/>
    <xf numFmtId="0" fontId="3" fillId="30" borderId="13" xfId="0" applyFont="1" applyFill="1" applyBorder="1"/>
    <xf numFmtId="0" fontId="3" fillId="31" borderId="13" xfId="0" applyFont="1" applyFill="1" applyBorder="1"/>
    <xf numFmtId="0" fontId="58" fillId="11" borderId="13" xfId="0" applyFont="1" applyFill="1" applyBorder="1" applyAlignment="1">
      <alignment horizontal="left"/>
    </xf>
    <xf numFmtId="0" fontId="58" fillId="33" borderId="13" xfId="0" applyFont="1" applyFill="1" applyBorder="1" applyAlignment="1"/>
    <xf numFmtId="0" fontId="3" fillId="17" borderId="13" xfId="0" applyFont="1" applyFill="1" applyBorder="1" applyAlignment="1"/>
    <xf numFmtId="0" fontId="3" fillId="18" borderId="13" xfId="0" applyFont="1" applyFill="1" applyBorder="1" applyAlignment="1">
      <alignment horizontal="left"/>
    </xf>
    <xf numFmtId="0" fontId="3" fillId="7" borderId="32" xfId="0" applyFont="1" applyFill="1" applyBorder="1" applyAlignment="1">
      <alignment horizontal="center" wrapText="1"/>
    </xf>
    <xf numFmtId="0" fontId="3" fillId="27" borderId="32" xfId="0" applyFont="1" applyFill="1" applyBorder="1" applyAlignment="1">
      <alignment horizontal="center" wrapText="1"/>
    </xf>
    <xf numFmtId="0" fontId="26" fillId="19" borderId="12" xfId="1" applyFont="1" applyFill="1" applyBorder="1" applyAlignment="1" applyProtection="1"/>
    <xf numFmtId="0" fontId="26" fillId="19" borderId="0" xfId="1" applyFont="1" applyFill="1" applyBorder="1" applyAlignment="1" applyProtection="1"/>
    <xf numFmtId="0" fontId="58" fillId="4" borderId="13" xfId="1" applyFont="1" applyFill="1" applyBorder="1" applyAlignment="1" applyProtection="1">
      <alignment horizontal="left"/>
    </xf>
    <xf numFmtId="0" fontId="14" fillId="2" borderId="10" xfId="0" applyFont="1" applyFill="1" applyBorder="1" applyAlignment="1">
      <alignment horizontal="center"/>
    </xf>
    <xf numFmtId="0" fontId="14" fillId="2" borderId="11" xfId="0" applyFont="1" applyFill="1" applyBorder="1" applyAlignment="1">
      <alignment horizontal="center"/>
    </xf>
    <xf numFmtId="0" fontId="15" fillId="2" borderId="17" xfId="0" applyFont="1" applyFill="1" applyBorder="1" applyAlignment="1">
      <alignment horizontal="center"/>
    </xf>
    <xf numFmtId="9" fontId="1" fillId="0" borderId="0" xfId="2" applyFont="1" applyFill="1" applyBorder="1"/>
    <xf numFmtId="9" fontId="14" fillId="2" borderId="0" xfId="2" applyFont="1" applyFill="1" applyBorder="1" applyAlignment="1">
      <alignment horizontal="center"/>
    </xf>
    <xf numFmtId="9" fontId="14" fillId="2" borderId="11" xfId="2" applyFont="1" applyFill="1" applyBorder="1" applyAlignment="1">
      <alignment horizontal="center"/>
    </xf>
    <xf numFmtId="9" fontId="14" fillId="2" borderId="17" xfId="2" applyFont="1" applyFill="1" applyBorder="1" applyAlignment="1">
      <alignment horizontal="center"/>
    </xf>
    <xf numFmtId="0" fontId="3" fillId="9" borderId="32" xfId="0" applyFont="1" applyFill="1" applyBorder="1" applyAlignment="1">
      <alignment horizontal="center" wrapText="1"/>
    </xf>
    <xf numFmtId="0" fontId="3" fillId="16" borderId="32" xfId="0" applyFont="1" applyFill="1" applyBorder="1" applyAlignment="1">
      <alignment horizontal="center" wrapText="1"/>
    </xf>
    <xf numFmtId="0" fontId="59" fillId="35" borderId="32" xfId="0" applyFont="1" applyFill="1" applyBorder="1"/>
    <xf numFmtId="0" fontId="0" fillId="0" borderId="10" xfId="0" applyBorder="1"/>
    <xf numFmtId="1" fontId="1" fillId="6" borderId="23" xfId="0" applyNumberFormat="1" applyFont="1" applyFill="1" applyBorder="1"/>
    <xf numFmtId="9" fontId="1" fillId="6" borderId="23" xfId="2" applyFont="1" applyFill="1" applyBorder="1"/>
    <xf numFmtId="0" fontId="11" fillId="0" borderId="0" xfId="0" applyFont="1" applyFill="1"/>
    <xf numFmtId="0" fontId="0" fillId="0" borderId="33" xfId="0" applyBorder="1"/>
    <xf numFmtId="0" fontId="0" fillId="0" borderId="34" xfId="0" applyBorder="1"/>
    <xf numFmtId="0" fontId="0" fillId="0" borderId="35" xfId="0" applyBorder="1"/>
    <xf numFmtId="0" fontId="0" fillId="0" borderId="36" xfId="0" applyBorder="1"/>
    <xf numFmtId="0" fontId="12" fillId="0" borderId="0" xfId="0" applyFont="1" applyBorder="1"/>
    <xf numFmtId="0" fontId="4" fillId="0" borderId="0" xfId="0" applyFont="1" applyFill="1" applyBorder="1"/>
    <xf numFmtId="0" fontId="11" fillId="0" borderId="0" xfId="0" applyFont="1" applyFill="1" applyBorder="1"/>
    <xf numFmtId="0" fontId="5" fillId="0" borderId="37" xfId="0" applyFont="1" applyFill="1" applyBorder="1"/>
    <xf numFmtId="0" fontId="5" fillId="0" borderId="37" xfId="0" applyFont="1" applyBorder="1"/>
    <xf numFmtId="0" fontId="3" fillId="0" borderId="0" xfId="0" applyFont="1" applyBorder="1" applyAlignment="1">
      <alignment wrapText="1"/>
    </xf>
    <xf numFmtId="0" fontId="4" fillId="0" borderId="37" xfId="0" applyFont="1" applyBorder="1"/>
    <xf numFmtId="0" fontId="20" fillId="11" borderId="11" xfId="0" applyFont="1" applyFill="1" applyBorder="1"/>
    <xf numFmtId="0" fontId="3" fillId="0" borderId="0" xfId="0" applyFont="1" applyBorder="1" applyAlignment="1">
      <alignment horizontal="right" wrapText="1"/>
    </xf>
    <xf numFmtId="0" fontId="0" fillId="0" borderId="37" xfId="0" applyBorder="1"/>
    <xf numFmtId="0" fontId="0" fillId="0" borderId="39" xfId="0" applyFill="1" applyBorder="1"/>
    <xf numFmtId="0" fontId="4" fillId="0" borderId="1" xfId="0" applyFont="1" applyFill="1" applyBorder="1"/>
    <xf numFmtId="1" fontId="20" fillId="11" borderId="0" xfId="0" applyNumberFormat="1" applyFont="1" applyFill="1" applyBorder="1"/>
    <xf numFmtId="2" fontId="37" fillId="11" borderId="0" xfId="0" applyNumberFormat="1" applyFont="1" applyFill="1" applyBorder="1"/>
    <xf numFmtId="3" fontId="20" fillId="11" borderId="0" xfId="0" applyNumberFormat="1" applyFont="1" applyFill="1" applyBorder="1"/>
    <xf numFmtId="3" fontId="37" fillId="6" borderId="22" xfId="0" applyNumberFormat="1" applyFont="1" applyFill="1" applyBorder="1"/>
    <xf numFmtId="1" fontId="1" fillId="0" borderId="37" xfId="0" applyNumberFormat="1" applyFont="1" applyFill="1" applyBorder="1"/>
    <xf numFmtId="0" fontId="4" fillId="0" borderId="37" xfId="0" applyFont="1" applyFill="1" applyBorder="1"/>
    <xf numFmtId="0" fontId="0" fillId="0" borderId="37" xfId="0" applyFill="1" applyBorder="1"/>
    <xf numFmtId="0" fontId="3" fillId="0" borderId="33" xfId="0" applyFont="1" applyBorder="1" applyAlignment="1">
      <alignment wrapText="1"/>
    </xf>
    <xf numFmtId="1" fontId="0" fillId="0" borderId="40" xfId="0" applyNumberFormat="1" applyBorder="1"/>
    <xf numFmtId="0" fontId="0" fillId="3" borderId="0" xfId="0" applyFill="1"/>
    <xf numFmtId="0" fontId="1" fillId="3" borderId="0" xfId="0" applyFont="1" applyFill="1"/>
    <xf numFmtId="0" fontId="5" fillId="3" borderId="0" xfId="0" applyFont="1" applyFill="1"/>
    <xf numFmtId="2" fontId="1" fillId="3" borderId="0" xfId="0" applyNumberFormat="1" applyFont="1" applyFill="1"/>
    <xf numFmtId="0" fontId="18" fillId="3" borderId="0" xfId="0" quotePrefix="1" applyFont="1" applyFill="1" applyBorder="1" applyAlignment="1">
      <alignment horizontal="left"/>
    </xf>
    <xf numFmtId="164" fontId="1" fillId="3" borderId="0" xfId="0" applyNumberFormat="1" applyFont="1" applyFill="1"/>
    <xf numFmtId="0" fontId="43" fillId="36" borderId="0" xfId="0" applyFont="1" applyFill="1" applyBorder="1"/>
    <xf numFmtId="164" fontId="5" fillId="36" borderId="0" xfId="0" applyNumberFormat="1" applyFont="1" applyFill="1" applyBorder="1"/>
    <xf numFmtId="164" fontId="5" fillId="3" borderId="0" xfId="0" applyNumberFormat="1" applyFont="1" applyFill="1" applyBorder="1"/>
    <xf numFmtId="4" fontId="5" fillId="3" borderId="0" xfId="0" applyNumberFormat="1" applyFont="1" applyFill="1"/>
    <xf numFmtId="164" fontId="5" fillId="3" borderId="0" xfId="0" applyNumberFormat="1" applyFont="1" applyFill="1"/>
    <xf numFmtId="0" fontId="60" fillId="3" borderId="14" xfId="1" applyFont="1" applyFill="1" applyBorder="1" applyAlignment="1" applyProtection="1"/>
    <xf numFmtId="0" fontId="18" fillId="3" borderId="0" xfId="0" applyFont="1" applyFill="1"/>
    <xf numFmtId="0" fontId="12" fillId="3" borderId="0" xfId="0" applyFont="1" applyFill="1"/>
    <xf numFmtId="0" fontId="56" fillId="3" borderId="0" xfId="1" applyFont="1" applyFill="1" applyBorder="1" applyAlignment="1" applyProtection="1">
      <alignment horizontal="left"/>
    </xf>
    <xf numFmtId="1" fontId="56" fillId="0" borderId="0" xfId="0" applyNumberFormat="1" applyFont="1"/>
    <xf numFmtId="1" fontId="55" fillId="0" borderId="0" xfId="0" applyNumberFormat="1" applyFont="1"/>
    <xf numFmtId="0" fontId="61" fillId="0" borderId="0" xfId="0" applyFont="1"/>
    <xf numFmtId="4" fontId="56" fillId="0" borderId="0" xfId="0" applyNumberFormat="1" applyFont="1"/>
    <xf numFmtId="3" fontId="56" fillId="0" borderId="0" xfId="0" applyNumberFormat="1" applyFont="1"/>
    <xf numFmtId="0" fontId="0" fillId="32" borderId="0" xfId="0" applyFill="1"/>
    <xf numFmtId="0" fontId="5" fillId="32" borderId="0" xfId="0" applyFont="1" applyFill="1"/>
    <xf numFmtId="0" fontId="20" fillId="32" borderId="0" xfId="0" applyFont="1" applyFill="1"/>
    <xf numFmtId="0" fontId="19" fillId="32" borderId="0" xfId="0" applyFont="1" applyFill="1"/>
    <xf numFmtId="0" fontId="41" fillId="32" borderId="0" xfId="0" applyFont="1" applyFill="1"/>
    <xf numFmtId="0" fontId="40" fillId="32" borderId="0" xfId="0" applyFont="1" applyFill="1"/>
    <xf numFmtId="0" fontId="22" fillId="32" borderId="0" xfId="0" applyFont="1" applyFill="1"/>
    <xf numFmtId="0" fontId="42" fillId="32" borderId="0" xfId="0" applyFont="1" applyFill="1"/>
    <xf numFmtId="0" fontId="32" fillId="32" borderId="0" xfId="0" applyFont="1" applyFill="1"/>
    <xf numFmtId="0" fontId="27" fillId="3" borderId="0" xfId="1" applyFont="1" applyFill="1" applyAlignment="1" applyProtection="1"/>
    <xf numFmtId="0" fontId="27" fillId="3" borderId="0" xfId="1" applyFont="1" applyFill="1" applyAlignment="1" applyProtection="1">
      <alignment horizontal="center"/>
    </xf>
    <xf numFmtId="0" fontId="27" fillId="3" borderId="0" xfId="1" applyFont="1" applyFill="1" applyAlignment="1" applyProtection="1">
      <alignment horizontal="center"/>
    </xf>
    <xf numFmtId="0" fontId="5" fillId="0" borderId="0" xfId="0" applyFont="1" applyAlignment="1">
      <alignment horizontal="left"/>
    </xf>
    <xf numFmtId="0" fontId="62" fillId="3" borderId="0" xfId="1" applyFont="1" applyFill="1" applyAlignment="1" applyProtection="1"/>
    <xf numFmtId="2" fontId="0" fillId="7" borderId="0" xfId="0" applyNumberFormat="1" applyFill="1"/>
    <xf numFmtId="0" fontId="9" fillId="3" borderId="0" xfId="0" applyFont="1" applyFill="1"/>
    <xf numFmtId="1" fontId="11" fillId="3" borderId="0" xfId="0" applyNumberFormat="1" applyFont="1" applyFill="1" applyBorder="1"/>
    <xf numFmtId="3" fontId="0" fillId="3" borderId="0" xfId="0" applyNumberFormat="1" applyFill="1"/>
    <xf numFmtId="0" fontId="63" fillId="5" borderId="0" xfId="0" applyFont="1" applyFill="1"/>
    <xf numFmtId="0" fontId="5" fillId="5" borderId="0" xfId="0" applyFont="1" applyFill="1" applyBorder="1"/>
    <xf numFmtId="0" fontId="39" fillId="5" borderId="0" xfId="0" applyFont="1" applyFill="1" applyBorder="1"/>
    <xf numFmtId="0" fontId="0" fillId="30" borderId="0" xfId="0" applyFill="1"/>
    <xf numFmtId="0" fontId="5" fillId="30" borderId="0" xfId="0" applyFont="1" applyFill="1"/>
    <xf numFmtId="0" fontId="20" fillId="30" borderId="0" xfId="0" applyFont="1" applyFill="1"/>
    <xf numFmtId="0" fontId="19" fillId="30" borderId="0" xfId="0" applyFont="1" applyFill="1"/>
    <xf numFmtId="0" fontId="41" fillId="30" borderId="0" xfId="0" applyFont="1" applyFill="1"/>
    <xf numFmtId="0" fontId="40" fillId="30" borderId="0" xfId="0" applyFont="1" applyFill="1"/>
    <xf numFmtId="0" fontId="22" fillId="30" borderId="0" xfId="0" applyFont="1" applyFill="1"/>
    <xf numFmtId="0" fontId="42" fillId="30" borderId="0" xfId="0" applyFont="1" applyFill="1"/>
    <xf numFmtId="0" fontId="32" fillId="30" borderId="0" xfId="0" applyFont="1" applyFill="1"/>
    <xf numFmtId="3" fontId="20" fillId="6" borderId="23" xfId="0" applyNumberFormat="1" applyFont="1" applyFill="1" applyBorder="1"/>
    <xf numFmtId="0" fontId="0" fillId="27" borderId="0" xfId="0" applyFill="1"/>
    <xf numFmtId="0" fontId="5" fillId="27" borderId="0" xfId="0" applyFont="1" applyFill="1"/>
    <xf numFmtId="0" fontId="20" fillId="27" borderId="0" xfId="0" applyFont="1" applyFill="1"/>
    <xf numFmtId="0" fontId="19" fillId="27" borderId="0" xfId="0" applyFont="1" applyFill="1"/>
    <xf numFmtId="0" fontId="41" fillId="27" borderId="0" xfId="0" applyFont="1" applyFill="1"/>
    <xf numFmtId="0" fontId="40" fillId="27" borderId="0" xfId="0" applyFont="1" applyFill="1"/>
    <xf numFmtId="0" fontId="22" fillId="27" borderId="0" xfId="0" applyFont="1" applyFill="1"/>
    <xf numFmtId="0" fontId="32" fillId="27" borderId="0" xfId="0" applyFont="1" applyFill="1"/>
    <xf numFmtId="165" fontId="1" fillId="6" borderId="22" xfId="0" applyNumberFormat="1" applyFont="1" applyFill="1" applyBorder="1"/>
    <xf numFmtId="0" fontId="0" fillId="17" borderId="0" xfId="0" applyFill="1"/>
    <xf numFmtId="0" fontId="5" fillId="17" borderId="0" xfId="0" applyFont="1" applyFill="1"/>
    <xf numFmtId="0" fontId="20" fillId="17" borderId="0" xfId="0" applyFont="1" applyFill="1"/>
    <xf numFmtId="0" fontId="19" fillId="17" borderId="0" xfId="0" applyFont="1" applyFill="1"/>
    <xf numFmtId="0" fontId="41" fillId="17" borderId="0" xfId="0" applyFont="1" applyFill="1"/>
    <xf numFmtId="0" fontId="40" fillId="17" borderId="0" xfId="0" applyFont="1" applyFill="1"/>
    <xf numFmtId="0" fontId="22" fillId="17" borderId="0" xfId="0" applyFont="1" applyFill="1"/>
    <xf numFmtId="0" fontId="32" fillId="17" borderId="0" xfId="0" applyFont="1" applyFill="1"/>
    <xf numFmtId="0" fontId="64" fillId="3" borderId="14" xfId="1" applyFont="1" applyFill="1" applyBorder="1" applyAlignment="1" applyProtection="1"/>
    <xf numFmtId="1" fontId="56" fillId="0" borderId="0" xfId="0" applyNumberFormat="1" applyFont="1" applyFill="1"/>
    <xf numFmtId="4" fontId="56" fillId="0" borderId="0" xfId="0" applyNumberFormat="1" applyFont="1" applyFill="1"/>
    <xf numFmtId="3" fontId="56" fillId="0" borderId="0" xfId="0" applyNumberFormat="1" applyFont="1" applyFill="1"/>
    <xf numFmtId="0" fontId="20" fillId="9" borderId="0" xfId="0" applyFont="1" applyFill="1"/>
    <xf numFmtId="0" fontId="19" fillId="9" borderId="0" xfId="0" applyFont="1" applyFill="1"/>
    <xf numFmtId="0" fontId="41" fillId="9" borderId="0" xfId="0" applyFont="1" applyFill="1"/>
    <xf numFmtId="0" fontId="40" fillId="9" borderId="0" xfId="0" applyFont="1" applyFill="1"/>
    <xf numFmtId="0" fontId="22" fillId="9" borderId="0" xfId="0" applyFont="1" applyFill="1"/>
    <xf numFmtId="0" fontId="32" fillId="9" borderId="0" xfId="0" applyFont="1" applyFill="1"/>
    <xf numFmtId="0" fontId="26" fillId="0" borderId="14" xfId="1" applyFont="1" applyFill="1" applyBorder="1" applyAlignment="1" applyProtection="1"/>
    <xf numFmtId="165" fontId="17" fillId="3" borderId="0" xfId="0" applyNumberFormat="1" applyFont="1" applyFill="1" applyBorder="1" applyAlignment="1">
      <alignment horizontal="right" wrapText="1"/>
    </xf>
    <xf numFmtId="165" fontId="17" fillId="3" borderId="0" xfId="0" applyNumberFormat="1" applyFont="1" applyFill="1" applyBorder="1"/>
    <xf numFmtId="165" fontId="44" fillId="3" borderId="0" xfId="0" applyNumberFormat="1" applyFont="1" applyFill="1" applyBorder="1"/>
    <xf numFmtId="165" fontId="11" fillId="3" borderId="0" xfId="0" applyNumberFormat="1" applyFont="1" applyFill="1" applyBorder="1"/>
    <xf numFmtId="165" fontId="44" fillId="3" borderId="0" xfId="0" applyNumberFormat="1" applyFont="1" applyFill="1" applyBorder="1" applyAlignment="1">
      <alignment horizontal="right" wrapText="1"/>
    </xf>
    <xf numFmtId="165" fontId="48" fillId="3" borderId="0" xfId="0" applyNumberFormat="1" applyFont="1" applyFill="1" applyBorder="1" applyAlignment="1">
      <alignment horizontal="right" wrapText="1"/>
    </xf>
    <xf numFmtId="165" fontId="19" fillId="3" borderId="0" xfId="0" applyNumberFormat="1" applyFont="1" applyFill="1" applyBorder="1"/>
    <xf numFmtId="165" fontId="40" fillId="3" borderId="0" xfId="0" applyNumberFormat="1" applyFont="1" applyFill="1" applyBorder="1" applyAlignment="1">
      <alignment horizontal="right" wrapText="1"/>
    </xf>
    <xf numFmtId="166" fontId="48" fillId="3" borderId="4" xfId="0" applyNumberFormat="1" applyFont="1" applyFill="1" applyBorder="1" applyAlignment="1">
      <alignment horizontal="right" wrapText="1"/>
    </xf>
    <xf numFmtId="0" fontId="35" fillId="3" borderId="0" xfId="0" applyFont="1" applyFill="1" applyBorder="1"/>
    <xf numFmtId="0" fontId="35" fillId="3" borderId="11" xfId="0" applyFont="1" applyFill="1" applyBorder="1"/>
    <xf numFmtId="0" fontId="35" fillId="0" borderId="0" xfId="0" applyFont="1" applyFill="1" applyBorder="1"/>
    <xf numFmtId="3" fontId="16" fillId="3" borderId="0" xfId="0" applyNumberFormat="1" applyFont="1" applyFill="1" applyBorder="1"/>
    <xf numFmtId="0" fontId="11" fillId="26" borderId="0" xfId="0" applyFont="1" applyFill="1"/>
    <xf numFmtId="0" fontId="39" fillId="26" borderId="0" xfId="0" applyFont="1" applyFill="1"/>
    <xf numFmtId="0" fontId="23" fillId="26" borderId="0" xfId="0" applyFont="1" applyFill="1"/>
    <xf numFmtId="0" fontId="17" fillId="26" borderId="0" xfId="0" applyFont="1" applyFill="1"/>
    <xf numFmtId="0" fontId="65" fillId="26" borderId="0" xfId="0" applyFont="1" applyFill="1"/>
    <xf numFmtId="1" fontId="0" fillId="15" borderId="0" xfId="0" applyNumberFormat="1" applyFill="1"/>
    <xf numFmtId="2" fontId="0" fillId="15" borderId="0" xfId="0" applyNumberFormat="1" applyFill="1"/>
    <xf numFmtId="2" fontId="5" fillId="15" borderId="0" xfId="0" applyNumberFormat="1" applyFont="1" applyFill="1"/>
    <xf numFmtId="3" fontId="61" fillId="0" borderId="0" xfId="0" applyNumberFormat="1" applyFont="1"/>
    <xf numFmtId="0" fontId="3" fillId="13" borderId="32" xfId="0" applyFont="1" applyFill="1" applyBorder="1" applyAlignment="1">
      <alignment horizontal="center" wrapText="1"/>
    </xf>
    <xf numFmtId="0" fontId="3" fillId="23" borderId="0" xfId="0" applyFont="1" applyFill="1"/>
    <xf numFmtId="0" fontId="1" fillId="23" borderId="0" xfId="0" applyFont="1" applyFill="1" applyBorder="1"/>
    <xf numFmtId="2" fontId="1" fillId="23" borderId="0" xfId="0" applyNumberFormat="1" applyFont="1" applyFill="1" applyBorder="1"/>
    <xf numFmtId="0" fontId="6" fillId="16" borderId="0" xfId="0" applyFont="1" applyFill="1"/>
    <xf numFmtId="0" fontId="1" fillId="16" borderId="0" xfId="0" applyFont="1" applyFill="1"/>
    <xf numFmtId="2" fontId="1" fillId="16" borderId="0" xfId="0" applyNumberFormat="1" applyFont="1" applyFill="1"/>
    <xf numFmtId="0" fontId="1" fillId="16" borderId="22" xfId="0" applyFont="1" applyFill="1" applyBorder="1"/>
    <xf numFmtId="2" fontId="1" fillId="16" borderId="22" xfId="0" applyNumberFormat="1" applyFont="1" applyFill="1" applyBorder="1"/>
    <xf numFmtId="1" fontId="0" fillId="16" borderId="0" xfId="0" applyNumberFormat="1" applyFill="1"/>
    <xf numFmtId="0" fontId="5" fillId="16" borderId="0" xfId="0" applyFont="1" applyFill="1" applyBorder="1"/>
    <xf numFmtId="2" fontId="5" fillId="16" borderId="0" xfId="0" applyNumberFormat="1" applyFont="1" applyFill="1" applyBorder="1"/>
    <xf numFmtId="2" fontId="5" fillId="16" borderId="0" xfId="0" applyNumberFormat="1" applyFont="1" applyFill="1"/>
    <xf numFmtId="1" fontId="5" fillId="16" borderId="0" xfId="0" applyNumberFormat="1" applyFont="1" applyFill="1"/>
    <xf numFmtId="0" fontId="0" fillId="37" borderId="0" xfId="0" applyFill="1"/>
    <xf numFmtId="0" fontId="6" fillId="37" borderId="0" xfId="0" applyFont="1" applyFill="1"/>
    <xf numFmtId="0" fontId="1" fillId="37" borderId="0" xfId="0" applyFont="1" applyFill="1"/>
    <xf numFmtId="2" fontId="1" fillId="37" borderId="0" xfId="0" applyNumberFormat="1" applyFont="1" applyFill="1"/>
    <xf numFmtId="0" fontId="1" fillId="37" borderId="22" xfId="0" applyFont="1" applyFill="1" applyBorder="1"/>
    <xf numFmtId="2" fontId="1" fillId="37" borderId="22" xfId="0" applyNumberFormat="1" applyFont="1" applyFill="1" applyBorder="1"/>
    <xf numFmtId="1" fontId="0" fillId="37" borderId="0" xfId="0" applyNumberFormat="1" applyFill="1"/>
    <xf numFmtId="0" fontId="1" fillId="37" borderId="23" xfId="0" applyFont="1" applyFill="1" applyBorder="1"/>
    <xf numFmtId="2" fontId="1" fillId="37" borderId="23" xfId="0" applyNumberFormat="1" applyFont="1" applyFill="1" applyBorder="1"/>
    <xf numFmtId="0" fontId="5" fillId="37" borderId="0" xfId="0" applyFont="1" applyFill="1"/>
    <xf numFmtId="2" fontId="5" fillId="37" borderId="0" xfId="0" applyNumberFormat="1" applyFont="1" applyFill="1"/>
    <xf numFmtId="1" fontId="5" fillId="37" borderId="0" xfId="0" applyNumberFormat="1" applyFont="1" applyFill="1"/>
    <xf numFmtId="2" fontId="1" fillId="22" borderId="22" xfId="0" applyNumberFormat="1" applyFont="1" applyFill="1" applyBorder="1"/>
    <xf numFmtId="0" fontId="0" fillId="33" borderId="0" xfId="0" applyFill="1"/>
    <xf numFmtId="0" fontId="5" fillId="33" borderId="0" xfId="0" applyFont="1" applyFill="1"/>
    <xf numFmtId="0" fontId="19" fillId="33" borderId="0" xfId="0" applyFont="1" applyFill="1"/>
    <xf numFmtId="0" fontId="20" fillId="33" borderId="0" xfId="0" applyFont="1" applyFill="1"/>
    <xf numFmtId="0" fontId="41" fillId="33" borderId="0" xfId="0" applyFont="1" applyFill="1"/>
    <xf numFmtId="0" fontId="40" fillId="33" borderId="0" xfId="0" applyFont="1" applyFill="1"/>
    <xf numFmtId="0" fontId="22" fillId="33" borderId="0" xfId="0" applyFont="1" applyFill="1"/>
    <xf numFmtId="0" fontId="32" fillId="33" borderId="0" xfId="0" applyFont="1" applyFill="1"/>
    <xf numFmtId="0" fontId="0" fillId="11" borderId="0" xfId="0" applyFill="1"/>
    <xf numFmtId="0" fontId="5" fillId="11" borderId="0" xfId="0" applyFont="1" applyFill="1"/>
    <xf numFmtId="0" fontId="19" fillId="11" borderId="0" xfId="0" applyFont="1" applyFill="1"/>
    <xf numFmtId="0" fontId="20" fillId="11" borderId="0" xfId="0" applyFont="1" applyFill="1"/>
    <xf numFmtId="0" fontId="41" fillId="11" borderId="0" xfId="0" applyFont="1" applyFill="1"/>
    <xf numFmtId="0" fontId="40" fillId="11" borderId="0" xfId="0" applyFont="1" applyFill="1"/>
    <xf numFmtId="0" fontId="22" fillId="11" borderId="0" xfId="0" applyFont="1" applyFill="1"/>
    <xf numFmtId="0" fontId="32" fillId="11" borderId="0" xfId="0" applyFont="1" applyFill="1"/>
    <xf numFmtId="1" fontId="61" fillId="0" borderId="0" xfId="0" applyNumberFormat="1" applyFont="1"/>
    <xf numFmtId="0" fontId="66" fillId="0" borderId="0" xfId="0" applyFont="1"/>
    <xf numFmtId="0" fontId="0" fillId="18" borderId="0" xfId="0" applyFill="1"/>
    <xf numFmtId="0" fontId="5" fillId="18" borderId="0" xfId="0" applyFont="1" applyFill="1"/>
    <xf numFmtId="0" fontId="19" fillId="18" borderId="0" xfId="0" applyFont="1" applyFill="1"/>
    <xf numFmtId="0" fontId="20" fillId="18" borderId="0" xfId="0" applyFont="1" applyFill="1"/>
    <xf numFmtId="0" fontId="41" fillId="18" borderId="0" xfId="0" applyFont="1" applyFill="1"/>
    <xf numFmtId="0" fontId="40" fillId="18" borderId="0" xfId="0" applyFont="1" applyFill="1"/>
    <xf numFmtId="0" fontId="22" fillId="18" borderId="0" xfId="0" applyFont="1" applyFill="1"/>
    <xf numFmtId="0" fontId="32" fillId="18" borderId="0" xfId="0" applyFont="1" applyFill="1"/>
    <xf numFmtId="0" fontId="21" fillId="3" borderId="0" xfId="0" applyFont="1" applyFill="1" applyBorder="1" applyAlignment="1">
      <alignment horizontal="center"/>
    </xf>
    <xf numFmtId="0" fontId="47" fillId="3" borderId="14" xfId="0" applyFont="1" applyFill="1" applyBorder="1" applyAlignment="1">
      <alignment horizontal="left" wrapText="1"/>
    </xf>
    <xf numFmtId="0" fontId="47" fillId="3" borderId="0" xfId="0" applyFont="1" applyFill="1" applyBorder="1" applyAlignment="1">
      <alignment horizontal="left" wrapText="1"/>
    </xf>
    <xf numFmtId="0" fontId="18" fillId="3" borderId="14" xfId="0" applyFont="1" applyFill="1" applyBorder="1" applyAlignment="1">
      <alignment horizontal="left" wrapText="1"/>
    </xf>
    <xf numFmtId="0" fontId="18" fillId="3" borderId="0" xfId="0" applyFont="1" applyFill="1" applyBorder="1" applyAlignment="1">
      <alignment horizontal="left" wrapText="1"/>
    </xf>
    <xf numFmtId="0" fontId="25" fillId="0" borderId="0" xfId="1" applyFont="1" applyAlignment="1" applyProtection="1">
      <alignment horizontal="left"/>
    </xf>
    <xf numFmtId="0" fontId="6" fillId="3" borderId="0" xfId="0" applyFont="1" applyFill="1" applyBorder="1"/>
    <xf numFmtId="0" fontId="19" fillId="7" borderId="0" xfId="0" applyFont="1" applyFill="1" applyAlignment="1">
      <alignment horizontal="center"/>
    </xf>
    <xf numFmtId="2" fontId="19" fillId="7" borderId="0" xfId="0" applyNumberFormat="1" applyFont="1" applyFill="1" applyAlignment="1">
      <alignment horizontal="center"/>
    </xf>
    <xf numFmtId="0" fontId="26" fillId="3" borderId="14" xfId="1" applyFont="1" applyFill="1" applyBorder="1" applyAlignment="1" applyProtection="1"/>
    <xf numFmtId="0" fontId="27" fillId="3" borderId="0" xfId="1" applyFont="1" applyFill="1" applyAlignment="1" applyProtection="1">
      <alignment horizontal="center"/>
    </xf>
    <xf numFmtId="167" fontId="1" fillId="6" borderId="23" xfId="2" applyNumberFormat="1" applyFont="1" applyFill="1" applyBorder="1"/>
    <xf numFmtId="0" fontId="26" fillId="32" borderId="16" xfId="1" applyFont="1" applyFill="1" applyBorder="1" applyAlignment="1" applyProtection="1"/>
    <xf numFmtId="0" fontId="26" fillId="30" borderId="12" xfId="1" applyFont="1" applyFill="1" applyBorder="1" applyAlignment="1" applyProtection="1"/>
    <xf numFmtId="0" fontId="26" fillId="31" borderId="12" xfId="1" applyFont="1" applyFill="1" applyBorder="1" applyAlignment="1" applyProtection="1"/>
    <xf numFmtId="0" fontId="26" fillId="17" borderId="12" xfId="1" applyFont="1" applyFill="1" applyBorder="1" applyAlignment="1" applyProtection="1"/>
    <xf numFmtId="0" fontId="26" fillId="18" borderId="12" xfId="1" applyFont="1" applyFill="1" applyBorder="1" applyAlignment="1" applyProtection="1">
      <alignment horizontal="left"/>
    </xf>
    <xf numFmtId="4" fontId="48" fillId="3" borderId="0" xfId="0" applyNumberFormat="1" applyFont="1" applyFill="1" applyBorder="1" applyAlignment="1">
      <alignment horizontal="right" wrapText="1"/>
    </xf>
    <xf numFmtId="166" fontId="48" fillId="3" borderId="0" xfId="0" applyNumberFormat="1" applyFont="1" applyFill="1" applyBorder="1" applyAlignment="1">
      <alignment horizontal="right" wrapText="1"/>
    </xf>
    <xf numFmtId="0" fontId="0" fillId="38" borderId="0" xfId="0" applyFill="1"/>
    <xf numFmtId="0" fontId="5" fillId="38" borderId="0" xfId="0" applyFont="1" applyFill="1"/>
    <xf numFmtId="0" fontId="19" fillId="38" borderId="0" xfId="0" applyFont="1" applyFill="1"/>
    <xf numFmtId="0" fontId="20" fillId="38" borderId="0" xfId="0" applyFont="1" applyFill="1"/>
    <xf numFmtId="0" fontId="41" fillId="38" borderId="0" xfId="0" applyFont="1" applyFill="1"/>
    <xf numFmtId="0" fontId="40" fillId="38" borderId="0" xfId="0" applyFont="1" applyFill="1"/>
    <xf numFmtId="0" fontId="22" fillId="38" borderId="0" xfId="0" applyFont="1" applyFill="1"/>
    <xf numFmtId="0" fontId="42" fillId="38" borderId="0" xfId="0" applyFont="1" applyFill="1"/>
    <xf numFmtId="0" fontId="32" fillId="38" borderId="0" xfId="0" applyFont="1" applyFill="1"/>
    <xf numFmtId="0" fontId="26" fillId="38" borderId="12" xfId="1" applyFont="1" applyFill="1" applyBorder="1" applyAlignment="1" applyProtection="1"/>
    <xf numFmtId="0" fontId="0" fillId="39" borderId="0" xfId="0" applyFill="1"/>
    <xf numFmtId="0" fontId="5" fillId="39" borderId="0" xfId="0" applyFont="1" applyFill="1"/>
    <xf numFmtId="0" fontId="19" fillId="39" borderId="0" xfId="0" applyFont="1" applyFill="1"/>
    <xf numFmtId="0" fontId="20" fillId="39" borderId="0" xfId="0" applyFont="1" applyFill="1"/>
    <xf numFmtId="0" fontId="41" fillId="39" borderId="0" xfId="0" applyFont="1" applyFill="1"/>
    <xf numFmtId="0" fontId="40" fillId="39" borderId="0" xfId="0" applyFont="1" applyFill="1"/>
    <xf numFmtId="0" fontId="22" fillId="39" borderId="0" xfId="0" applyFont="1" applyFill="1"/>
    <xf numFmtId="0" fontId="32" fillId="39" borderId="0" xfId="0" applyFont="1" applyFill="1"/>
    <xf numFmtId="0" fontId="26" fillId="10" borderId="12" xfId="1" applyFont="1" applyFill="1" applyBorder="1" applyAlignment="1" applyProtection="1">
      <alignment horizontal="left"/>
    </xf>
    <xf numFmtId="0" fontId="26" fillId="10" borderId="0" xfId="1" applyFont="1" applyFill="1" applyBorder="1" applyAlignment="1" applyProtection="1">
      <alignment horizontal="left"/>
    </xf>
    <xf numFmtId="166" fontId="40" fillId="3" borderId="0" xfId="0" applyNumberFormat="1" applyFont="1" applyFill="1" applyBorder="1" applyAlignment="1">
      <alignment horizontal="right" wrapText="1"/>
    </xf>
    <xf numFmtId="0" fontId="3" fillId="38" borderId="13" xfId="0" applyFont="1" applyFill="1" applyBorder="1"/>
    <xf numFmtId="0" fontId="37" fillId="6" borderId="22" xfId="0" applyFont="1" applyFill="1" applyBorder="1"/>
    <xf numFmtId="0" fontId="68" fillId="0" borderId="0" xfId="0" applyFont="1" applyFill="1"/>
    <xf numFmtId="0" fontId="58" fillId="10" borderId="13" xfId="0" applyFont="1" applyFill="1" applyBorder="1" applyAlignment="1"/>
    <xf numFmtId="0" fontId="68" fillId="0" borderId="0" xfId="0" applyFont="1"/>
    <xf numFmtId="1" fontId="68" fillId="0" borderId="0" xfId="0" applyNumberFormat="1" applyFont="1" applyFill="1" applyBorder="1"/>
    <xf numFmtId="0" fontId="68" fillId="0" borderId="0" xfId="0" applyFont="1" applyFill="1" applyBorder="1"/>
    <xf numFmtId="1" fontId="68" fillId="6" borderId="23" xfId="0" applyNumberFormat="1" applyFont="1" applyFill="1" applyBorder="1"/>
    <xf numFmtId="9" fontId="68" fillId="6" borderId="23" xfId="2" applyFont="1" applyFill="1" applyBorder="1"/>
    <xf numFmtId="9" fontId="68" fillId="0" borderId="12" xfId="2" applyFont="1" applyFill="1" applyBorder="1"/>
    <xf numFmtId="9" fontId="68" fillId="0" borderId="0" xfId="2" applyFont="1" applyFill="1" applyBorder="1"/>
    <xf numFmtId="9" fontId="68" fillId="2" borderId="11" xfId="2" applyFont="1" applyFill="1" applyBorder="1" applyAlignment="1">
      <alignment horizontal="center"/>
    </xf>
    <xf numFmtId="1" fontId="68" fillId="0" borderId="0" xfId="0" applyNumberFormat="1" applyFont="1" applyBorder="1"/>
    <xf numFmtId="1" fontId="68" fillId="0" borderId="12" xfId="0" applyNumberFormat="1" applyFont="1" applyBorder="1"/>
    <xf numFmtId="1" fontId="68" fillId="0" borderId="11" xfId="0" applyNumberFormat="1" applyFont="1" applyBorder="1"/>
    <xf numFmtId="9" fontId="68" fillId="2" borderId="0" xfId="2" applyFont="1" applyFill="1" applyBorder="1" applyAlignment="1">
      <alignment horizontal="center"/>
    </xf>
    <xf numFmtId="1" fontId="68" fillId="0" borderId="40" xfId="0" applyNumberFormat="1" applyFont="1" applyBorder="1"/>
    <xf numFmtId="0" fontId="37" fillId="11" borderId="12" xfId="0" applyFont="1" applyFill="1" applyBorder="1"/>
    <xf numFmtId="0" fontId="37" fillId="11" borderId="0" xfId="0" applyFont="1" applyFill="1" applyBorder="1"/>
    <xf numFmtId="0" fontId="68" fillId="11" borderId="0" xfId="0" applyFont="1" applyFill="1" applyBorder="1"/>
    <xf numFmtId="0" fontId="68" fillId="11" borderId="11" xfId="0" applyFont="1" applyFill="1" applyBorder="1"/>
    <xf numFmtId="1" fontId="37" fillId="6" borderId="22" xfId="0" applyNumberFormat="1" applyFont="1" applyFill="1" applyBorder="1"/>
    <xf numFmtId="3" fontId="37" fillId="11" borderId="0" xfId="0" applyNumberFormat="1" applyFont="1" applyFill="1" applyBorder="1"/>
    <xf numFmtId="1" fontId="68" fillId="0" borderId="0" xfId="0" applyNumberFormat="1" applyFont="1" applyFill="1"/>
    <xf numFmtId="0" fontId="68" fillId="0" borderId="40" xfId="0" applyFont="1" applyFill="1" applyBorder="1"/>
    <xf numFmtId="1" fontId="68" fillId="6" borderId="38" xfId="0" applyNumberFormat="1" applyFont="1" applyFill="1" applyBorder="1"/>
    <xf numFmtId="164" fontId="68" fillId="0" borderId="0" xfId="0" applyNumberFormat="1" applyFont="1" applyFill="1" applyBorder="1"/>
    <xf numFmtId="0" fontId="68" fillId="0" borderId="0" xfId="0" applyFont="1" applyFill="1" applyBorder="1" applyAlignment="1"/>
    <xf numFmtId="0" fontId="21" fillId="3" borderId="0" xfId="0" applyFont="1" applyFill="1" applyBorder="1" applyAlignment="1">
      <alignment horizontal="center"/>
    </xf>
    <xf numFmtId="0" fontId="18" fillId="3" borderId="14" xfId="0" applyFont="1" applyFill="1" applyBorder="1" applyAlignment="1">
      <alignment horizontal="left" wrapText="1"/>
    </xf>
    <xf numFmtId="0" fontId="18" fillId="3" borderId="0" xfId="0" applyFont="1" applyFill="1" applyBorder="1" applyAlignment="1">
      <alignment horizontal="left" wrapText="1"/>
    </xf>
    <xf numFmtId="0" fontId="25" fillId="0" borderId="0" xfId="1" applyFont="1" applyAlignment="1" applyProtection="1">
      <alignment horizontal="left"/>
    </xf>
    <xf numFmtId="0" fontId="6" fillId="3" borderId="0" xfId="0" applyFont="1" applyFill="1" applyBorder="1"/>
    <xf numFmtId="0" fontId="27" fillId="3" borderId="0" xfId="1" applyFont="1" applyFill="1" applyAlignment="1" applyProtection="1">
      <alignment horizontal="center"/>
    </xf>
    <xf numFmtId="0" fontId="20" fillId="3" borderId="0" xfId="0" applyFont="1" applyFill="1" applyBorder="1" applyAlignment="1">
      <alignment wrapText="1"/>
    </xf>
    <xf numFmtId="0" fontId="20" fillId="3" borderId="11" xfId="0" applyFont="1" applyFill="1" applyBorder="1" applyAlignment="1">
      <alignment wrapText="1"/>
    </xf>
    <xf numFmtId="0" fontId="21" fillId="3" borderId="0" xfId="0" applyFont="1" applyFill="1" applyBorder="1" applyAlignment="1">
      <alignment horizontal="center"/>
    </xf>
    <xf numFmtId="0" fontId="57" fillId="0" borderId="0" xfId="0" applyFont="1"/>
    <xf numFmtId="0" fontId="26" fillId="34" borderId="12" xfId="1" applyFont="1" applyFill="1" applyBorder="1" applyAlignment="1" applyProtection="1"/>
    <xf numFmtId="0" fontId="0" fillId="34" borderId="0" xfId="0" applyFill="1" applyBorder="1"/>
    <xf numFmtId="0" fontId="26" fillId="5" borderId="12" xfId="1" applyFont="1" applyFill="1" applyBorder="1" applyAlignment="1" applyProtection="1"/>
    <xf numFmtId="0" fontId="0" fillId="5" borderId="0" xfId="0" applyFill="1" applyBorder="1"/>
    <xf numFmtId="0" fontId="20" fillId="5" borderId="0" xfId="0" applyFont="1" applyFill="1"/>
    <xf numFmtId="0" fontId="41" fillId="5" borderId="0" xfId="0" applyFont="1" applyFill="1"/>
    <xf numFmtId="0" fontId="40" fillId="5" borderId="0" xfId="0" applyFont="1" applyFill="1"/>
    <xf numFmtId="0" fontId="22" fillId="5" borderId="0" xfId="0" applyFont="1" applyFill="1"/>
    <xf numFmtId="0" fontId="42" fillId="5" borderId="0" xfId="0" applyFont="1" applyFill="1"/>
    <xf numFmtId="0" fontId="32" fillId="5" borderId="0" xfId="0" applyFont="1" applyFill="1"/>
    <xf numFmtId="0" fontId="0" fillId="34" borderId="0" xfId="0" applyFill="1"/>
    <xf numFmtId="0" fontId="5" fillId="34" borderId="0" xfId="0" applyFont="1" applyFill="1"/>
    <xf numFmtId="0" fontId="19" fillId="34" borderId="0" xfId="0" applyFont="1" applyFill="1"/>
    <xf numFmtId="0" fontId="20" fillId="34" borderId="0" xfId="0" applyFont="1" applyFill="1"/>
    <xf numFmtId="0" fontId="41" fillId="34" borderId="0" xfId="0" applyFont="1" applyFill="1"/>
    <xf numFmtId="0" fontId="40" fillId="34" borderId="0" xfId="0" applyFont="1" applyFill="1"/>
    <xf numFmtId="0" fontId="22" fillId="34" borderId="0" xfId="0" applyFont="1" applyFill="1"/>
    <xf numFmtId="0" fontId="42" fillId="34" borderId="0" xfId="0" applyFont="1" applyFill="1"/>
    <xf numFmtId="0" fontId="32" fillId="34" borderId="0" xfId="0" applyFont="1" applyFill="1"/>
    <xf numFmtId="0" fontId="20" fillId="20" borderId="0" xfId="0" applyFont="1" applyFill="1"/>
    <xf numFmtId="0" fontId="41" fillId="20" borderId="0" xfId="0" applyFont="1" applyFill="1"/>
    <xf numFmtId="0" fontId="40" fillId="20" borderId="0" xfId="0" applyFont="1" applyFill="1"/>
    <xf numFmtId="0" fontId="22" fillId="20" borderId="0" xfId="0" applyFont="1" applyFill="1"/>
    <xf numFmtId="0" fontId="42" fillId="20" borderId="0" xfId="0" applyFont="1" applyFill="1"/>
    <xf numFmtId="0" fontId="0" fillId="14" borderId="0" xfId="0" applyFill="1"/>
    <xf numFmtId="0" fontId="5" fillId="14" borderId="0" xfId="0" applyFont="1" applyFill="1"/>
    <xf numFmtId="0" fontId="19" fillId="14" borderId="0" xfId="0" applyFont="1" applyFill="1"/>
    <xf numFmtId="0" fontId="20" fillId="14" borderId="0" xfId="0" applyFont="1" applyFill="1"/>
    <xf numFmtId="0" fontId="41" fillId="14" borderId="0" xfId="0" applyFont="1" applyFill="1"/>
    <xf numFmtId="0" fontId="40" fillId="14" borderId="0" xfId="0" applyFont="1" applyFill="1"/>
    <xf numFmtId="0" fontId="22" fillId="14" borderId="0" xfId="0" applyFont="1" applyFill="1"/>
    <xf numFmtId="0" fontId="42" fillId="14" borderId="0" xfId="0" applyFont="1" applyFill="1"/>
    <xf numFmtId="0" fontId="32" fillId="14" borderId="0" xfId="0" applyFont="1" applyFill="1"/>
    <xf numFmtId="0" fontId="42" fillId="27" borderId="0" xfId="0" applyFont="1" applyFill="1"/>
    <xf numFmtId="0" fontId="32" fillId="20" borderId="0" xfId="0" applyFont="1" applyFill="1"/>
    <xf numFmtId="0" fontId="26" fillId="41" borderId="12" xfId="1" applyFont="1" applyFill="1" applyBorder="1" applyAlignment="1" applyProtection="1"/>
    <xf numFmtId="0" fontId="0" fillId="41" borderId="0" xfId="0" applyFill="1" applyBorder="1"/>
    <xf numFmtId="0" fontId="26" fillId="27" borderId="12" xfId="1" applyFont="1" applyFill="1" applyBorder="1" applyAlignment="1" applyProtection="1"/>
    <xf numFmtId="0" fontId="0" fillId="27" borderId="0" xfId="0" applyFill="1" applyBorder="1"/>
    <xf numFmtId="0" fontId="26" fillId="14" borderId="12" xfId="1" applyFont="1" applyFill="1" applyBorder="1" applyAlignment="1" applyProtection="1"/>
    <xf numFmtId="0" fontId="0" fillId="14" borderId="0" xfId="0" applyFill="1" applyBorder="1"/>
    <xf numFmtId="0" fontId="3" fillId="34" borderId="13" xfId="0" applyFont="1" applyFill="1" applyBorder="1"/>
    <xf numFmtId="0" fontId="3" fillId="20" borderId="13" xfId="0" applyFont="1" applyFill="1" applyBorder="1"/>
    <xf numFmtId="0" fontId="3" fillId="27" borderId="13" xfId="0" applyFont="1" applyFill="1" applyBorder="1"/>
    <xf numFmtId="0" fontId="3" fillId="14" borderId="13" xfId="0" applyFont="1" applyFill="1" applyBorder="1"/>
    <xf numFmtId="0" fontId="47" fillId="3" borderId="0" xfId="0" applyFont="1" applyFill="1" applyBorder="1" applyAlignment="1"/>
    <xf numFmtId="164" fontId="19" fillId="6" borderId="22" xfId="0" applyNumberFormat="1" applyFont="1" applyFill="1" applyBorder="1"/>
    <xf numFmtId="164" fontId="19" fillId="3" borderId="0" xfId="0" applyNumberFormat="1" applyFont="1" applyFill="1" applyBorder="1"/>
    <xf numFmtId="164" fontId="20" fillId="3" borderId="22" xfId="0" applyNumberFormat="1" applyFont="1" applyFill="1" applyBorder="1"/>
    <xf numFmtId="0" fontId="23" fillId="4" borderId="0" xfId="1" applyFont="1" applyFill="1" applyBorder="1" applyAlignment="1" applyProtection="1">
      <alignment horizontal="left"/>
    </xf>
    <xf numFmtId="3" fontId="20" fillId="3" borderId="22" xfId="0" applyNumberFormat="1" applyFont="1" applyFill="1" applyBorder="1"/>
    <xf numFmtId="164" fontId="20" fillId="42" borderId="23" xfId="0" applyNumberFormat="1" applyFont="1" applyFill="1" applyBorder="1"/>
    <xf numFmtId="0" fontId="23" fillId="12" borderId="12" xfId="1" applyFont="1" applyFill="1" applyBorder="1" applyAlignment="1" applyProtection="1">
      <alignment horizontal="left"/>
    </xf>
    <xf numFmtId="0" fontId="23" fillId="19" borderId="12" xfId="1" applyFont="1" applyFill="1" applyBorder="1" applyAlignment="1" applyProtection="1"/>
    <xf numFmtId="0" fontId="23" fillId="13" borderId="12" xfId="1" applyFont="1" applyFill="1" applyBorder="1" applyAlignment="1" applyProtection="1"/>
    <xf numFmtId="164" fontId="20" fillId="42" borderId="22" xfId="0" applyNumberFormat="1" applyFont="1" applyFill="1" applyBorder="1"/>
    <xf numFmtId="0" fontId="20" fillId="43" borderId="0" xfId="0" applyFont="1" applyFill="1"/>
    <xf numFmtId="0" fontId="69" fillId="13" borderId="0" xfId="1" applyFont="1" applyFill="1" applyAlignment="1" applyProtection="1"/>
    <xf numFmtId="0" fontId="20" fillId="28" borderId="0" xfId="0" applyFont="1" applyFill="1"/>
    <xf numFmtId="0" fontId="26" fillId="16" borderId="0" xfId="1" applyFont="1" applyFill="1" applyAlignment="1" applyProtection="1"/>
    <xf numFmtId="0" fontId="26" fillId="28" borderId="0" xfId="1" applyFont="1" applyFill="1" applyAlignment="1" applyProtection="1"/>
    <xf numFmtId="0" fontId="26" fillId="14" borderId="0" xfId="1" applyFont="1" applyFill="1" applyAlignment="1" applyProtection="1"/>
    <xf numFmtId="0" fontId="69" fillId="0" borderId="0" xfId="1" applyFont="1" applyAlignment="1" applyProtection="1">
      <alignment horizontal="center" vertical="center"/>
    </xf>
    <xf numFmtId="3" fontId="20" fillId="42" borderId="22" xfId="0" applyNumberFormat="1" applyFont="1" applyFill="1" applyBorder="1"/>
    <xf numFmtId="3" fontId="20" fillId="42" borderId="23" xfId="0" applyNumberFormat="1" applyFont="1" applyFill="1" applyBorder="1"/>
    <xf numFmtId="0" fontId="31" fillId="24" borderId="0" xfId="0" applyFont="1" applyFill="1"/>
    <xf numFmtId="0" fontId="47" fillId="3" borderId="14" xfId="0" applyFont="1" applyFill="1" applyBorder="1" applyAlignment="1">
      <alignment horizontal="left" wrapText="1"/>
    </xf>
    <xf numFmtId="0" fontId="47" fillId="3" borderId="0" xfId="0" applyFont="1" applyFill="1" applyBorder="1" applyAlignment="1">
      <alignment horizontal="left" wrapText="1"/>
    </xf>
    <xf numFmtId="0" fontId="19" fillId="20" borderId="0" xfId="0" applyFont="1" applyFill="1" applyAlignment="1">
      <alignment horizontal="right"/>
    </xf>
    <xf numFmtId="0" fontId="19" fillId="20" borderId="0" xfId="0" applyFont="1" applyFill="1" applyAlignment="1">
      <alignment horizontal="center"/>
    </xf>
    <xf numFmtId="0" fontId="19" fillId="7" borderId="0" xfId="0" applyFont="1" applyFill="1" applyAlignment="1">
      <alignment horizontal="center"/>
    </xf>
    <xf numFmtId="2" fontId="19" fillId="7" borderId="0" xfId="0" applyNumberFormat="1" applyFont="1" applyFill="1" applyAlignment="1">
      <alignment horizontal="center"/>
    </xf>
    <xf numFmtId="0" fontId="23" fillId="3" borderId="0" xfId="0" applyFont="1" applyFill="1" applyBorder="1" applyAlignment="1">
      <alignment horizontal="left" wrapText="1"/>
    </xf>
    <xf numFmtId="0" fontId="25" fillId="0" borderId="0" xfId="1" applyFont="1" applyAlignment="1" applyProtection="1">
      <alignment horizontal="left"/>
    </xf>
    <xf numFmtId="0" fontId="6" fillId="3" borderId="0" xfId="0" applyFont="1" applyFill="1" applyBorder="1" applyAlignment="1">
      <alignment horizontal="center"/>
    </xf>
    <xf numFmtId="0" fontId="26" fillId="3" borderId="14" xfId="1" applyFont="1" applyFill="1" applyBorder="1" applyAlignment="1" applyProtection="1"/>
    <xf numFmtId="0" fontId="20" fillId="3" borderId="8" xfId="0" applyFont="1" applyFill="1" applyBorder="1"/>
    <xf numFmtId="0" fontId="71" fillId="0" borderId="0" xfId="1" applyFont="1" applyAlignment="1" applyProtection="1"/>
    <xf numFmtId="0" fontId="47" fillId="3" borderId="14" xfId="0" applyFont="1" applyFill="1" applyBorder="1" applyAlignment="1">
      <alignment horizontal="left" wrapText="1"/>
    </xf>
    <xf numFmtId="0" fontId="47" fillId="3" borderId="0" xfId="0" applyFont="1" applyFill="1" applyBorder="1" applyAlignment="1">
      <alignment horizontal="left" wrapText="1"/>
    </xf>
    <xf numFmtId="0" fontId="23" fillId="3" borderId="0" xfId="0" applyFont="1" applyFill="1" applyBorder="1" applyAlignment="1">
      <alignment horizontal="left" wrapText="1"/>
    </xf>
    <xf numFmtId="0" fontId="6" fillId="3" borderId="0" xfId="0" applyFont="1" applyFill="1" applyBorder="1"/>
    <xf numFmtId="0" fontId="19" fillId="20" borderId="0" xfId="0" applyFont="1" applyFill="1" applyAlignment="1">
      <alignment horizontal="right"/>
    </xf>
    <xf numFmtId="0" fontId="19" fillId="20" borderId="0" xfId="0" applyFont="1" applyFill="1" applyAlignment="1">
      <alignment horizontal="center"/>
    </xf>
    <xf numFmtId="0" fontId="26" fillId="3" borderId="14" xfId="1" applyFont="1" applyFill="1" applyBorder="1" applyAlignment="1" applyProtection="1"/>
    <xf numFmtId="0" fontId="29" fillId="0" borderId="0" xfId="0" applyFont="1" applyFill="1" applyBorder="1"/>
    <xf numFmtId="0" fontId="25" fillId="0" borderId="0" xfId="1" applyFont="1" applyAlignment="1" applyProtection="1"/>
    <xf numFmtId="0" fontId="48" fillId="3" borderId="1" xfId="0" applyFont="1" applyFill="1" applyBorder="1"/>
    <xf numFmtId="0" fontId="72" fillId="7" borderId="0" xfId="0" applyFont="1" applyFill="1"/>
    <xf numFmtId="0" fontId="73" fillId="3" borderId="0" xfId="0" applyFont="1" applyFill="1" applyBorder="1"/>
    <xf numFmtId="0" fontId="10" fillId="3" borderId="0" xfId="1" applyFill="1" applyAlignment="1" applyProtection="1"/>
    <xf numFmtId="0" fontId="39" fillId="0" borderId="0" xfId="0" applyFont="1"/>
    <xf numFmtId="0" fontId="74" fillId="0" borderId="0" xfId="0" applyFont="1"/>
    <xf numFmtId="1" fontId="52" fillId="0" borderId="0" xfId="0" applyNumberFormat="1" applyFont="1"/>
    <xf numFmtId="2" fontId="74" fillId="0" borderId="0" xfId="0" applyNumberFormat="1" applyFont="1"/>
    <xf numFmtId="4" fontId="75" fillId="0" borderId="0" xfId="0" applyNumberFormat="1" applyFont="1"/>
    <xf numFmtId="4" fontId="76" fillId="0" borderId="0" xfId="0" applyNumberFormat="1" applyFont="1"/>
    <xf numFmtId="0" fontId="74" fillId="3" borderId="0" xfId="1" applyFont="1" applyFill="1" applyBorder="1" applyAlignment="1" applyProtection="1">
      <alignment horizontal="left"/>
    </xf>
    <xf numFmtId="1" fontId="74" fillId="0" borderId="0" xfId="0" applyNumberFormat="1" applyFont="1"/>
    <xf numFmtId="4" fontId="74" fillId="0" borderId="0" xfId="0" applyNumberFormat="1" applyFont="1"/>
    <xf numFmtId="3" fontId="74" fillId="0" borderId="0" xfId="0" applyNumberFormat="1" applyFont="1"/>
    <xf numFmtId="0" fontId="1" fillId="0" borderId="14" xfId="0" applyFont="1" applyBorder="1" applyAlignment="1">
      <alignment horizontal="right"/>
    </xf>
    <xf numFmtId="0" fontId="76" fillId="0" borderId="0" xfId="0" applyFont="1"/>
    <xf numFmtId="0" fontId="26" fillId="0" borderId="0" xfId="1" applyFont="1" applyAlignment="1" applyProtection="1">
      <alignment horizontal="left"/>
    </xf>
    <xf numFmtId="0" fontId="26" fillId="3" borderId="14" xfId="1" applyFont="1" applyFill="1" applyBorder="1" applyAlignment="1" applyProtection="1"/>
    <xf numFmtId="0" fontId="23" fillId="17" borderId="0" xfId="0" applyFont="1" applyFill="1" applyBorder="1" applyAlignment="1"/>
    <xf numFmtId="0" fontId="23" fillId="0" borderId="0" xfId="0" applyFont="1"/>
    <xf numFmtId="1" fontId="23" fillId="0" borderId="0" xfId="0" applyNumberFormat="1" applyFont="1"/>
    <xf numFmtId="0" fontId="17" fillId="0" borderId="0" xfId="0" applyFont="1"/>
    <xf numFmtId="2" fontId="17" fillId="0" borderId="0" xfId="0" applyNumberFormat="1" applyFont="1"/>
    <xf numFmtId="4" fontId="40" fillId="0" borderId="0" xfId="0" applyNumberFormat="1" applyFont="1"/>
    <xf numFmtId="4" fontId="11" fillId="0" borderId="0" xfId="0" applyNumberFormat="1" applyFont="1"/>
    <xf numFmtId="0" fontId="52" fillId="0" borderId="0" xfId="0" applyFont="1"/>
    <xf numFmtId="0" fontId="75" fillId="0" borderId="0" xfId="0" applyFont="1"/>
    <xf numFmtId="0" fontId="77" fillId="0" borderId="0" xfId="0" applyFont="1"/>
    <xf numFmtId="1" fontId="20" fillId="0" borderId="0" xfId="0" applyNumberFormat="1" applyFont="1"/>
    <xf numFmtId="2" fontId="19" fillId="0" borderId="0" xfId="0" applyNumberFormat="1" applyFont="1"/>
    <xf numFmtId="4" fontId="41" fillId="0" borderId="0" xfId="0" applyNumberFormat="1" applyFont="1"/>
    <xf numFmtId="4" fontId="1" fillId="0" borderId="0" xfId="0" applyNumberFormat="1" applyFont="1"/>
    <xf numFmtId="2" fontId="76" fillId="0" borderId="0" xfId="0" applyNumberFormat="1" applyFont="1"/>
    <xf numFmtId="0" fontId="74" fillId="0" borderId="0" xfId="1" applyFont="1" applyFill="1" applyBorder="1" applyAlignment="1" applyProtection="1">
      <alignment horizontal="left"/>
    </xf>
    <xf numFmtId="0" fontId="74" fillId="0" borderId="0" xfId="0" applyFont="1" applyFill="1"/>
    <xf numFmtId="0" fontId="23" fillId="38" borderId="0" xfId="0" applyFont="1" applyFill="1" applyBorder="1"/>
    <xf numFmtId="0" fontId="70" fillId="40" borderId="20" xfId="1" applyFont="1" applyFill="1" applyBorder="1" applyAlignment="1" applyProtection="1">
      <alignment horizontal="center"/>
    </xf>
    <xf numFmtId="0" fontId="70" fillId="40" borderId="30" xfId="1" applyFont="1" applyFill="1" applyBorder="1" applyAlignment="1" applyProtection="1">
      <alignment horizontal="center"/>
    </xf>
    <xf numFmtId="0" fontId="70" fillId="40" borderId="21" xfId="1" applyFont="1" applyFill="1" applyBorder="1" applyAlignment="1" applyProtection="1">
      <alignment horizontal="center"/>
    </xf>
    <xf numFmtId="0" fontId="20" fillId="3" borderId="12" xfId="0" applyFont="1" applyFill="1" applyBorder="1" applyAlignment="1">
      <alignment vertical="center" wrapText="1"/>
    </xf>
    <xf numFmtId="0" fontId="20" fillId="3" borderId="0" xfId="0" applyFont="1" applyFill="1" applyBorder="1" applyAlignment="1">
      <alignment vertical="center" wrapText="1"/>
    </xf>
    <xf numFmtId="0" fontId="23" fillId="3" borderId="12" xfId="0" applyFont="1" applyFill="1" applyBorder="1" applyAlignment="1">
      <alignment vertical="center" wrapText="1"/>
    </xf>
    <xf numFmtId="0" fontId="23" fillId="3" borderId="0" xfId="0" applyFont="1" applyFill="1" applyBorder="1" applyAlignment="1">
      <alignment vertical="center" wrapText="1"/>
    </xf>
    <xf numFmtId="0" fontId="23" fillId="3" borderId="11" xfId="0" applyFont="1" applyFill="1" applyBorder="1" applyAlignment="1">
      <alignment vertical="center" wrapText="1"/>
    </xf>
    <xf numFmtId="0" fontId="17" fillId="11" borderId="12" xfId="1" applyFont="1" applyFill="1" applyBorder="1" applyAlignment="1" applyProtection="1">
      <alignment horizontal="left" wrapText="1"/>
    </xf>
    <xf numFmtId="0" fontId="17" fillId="11" borderId="0" xfId="1" applyFont="1" applyFill="1" applyBorder="1" applyAlignment="1" applyProtection="1">
      <alignment horizontal="left" wrapText="1"/>
    </xf>
    <xf numFmtId="0" fontId="35" fillId="3" borderId="0" xfId="0" applyFont="1" applyFill="1" applyBorder="1" applyAlignment="1">
      <alignment wrapText="1"/>
    </xf>
    <xf numFmtId="0" fontId="35" fillId="3" borderId="11" xfId="0" applyFont="1" applyFill="1" applyBorder="1" applyAlignment="1">
      <alignment wrapText="1"/>
    </xf>
    <xf numFmtId="0" fontId="35" fillId="3" borderId="1" xfId="0" applyFont="1" applyFill="1" applyBorder="1" applyAlignment="1">
      <alignment wrapText="1"/>
    </xf>
    <xf numFmtId="0" fontId="35" fillId="3" borderId="17" xfId="0" applyFont="1" applyFill="1" applyBorder="1" applyAlignment="1">
      <alignment wrapText="1"/>
    </xf>
    <xf numFmtId="0" fontId="21" fillId="3" borderId="0" xfId="0" applyFont="1" applyFill="1" applyBorder="1" applyAlignment="1">
      <alignment horizontal="center"/>
    </xf>
    <xf numFmtId="0" fontId="21" fillId="3" borderId="0" xfId="0" applyFont="1" applyFill="1" applyBorder="1" applyAlignment="1">
      <alignment horizontal="left"/>
    </xf>
    <xf numFmtId="0" fontId="26" fillId="33" borderId="12" xfId="1" applyFont="1" applyFill="1" applyBorder="1" applyAlignment="1" applyProtection="1">
      <alignment horizontal="left"/>
    </xf>
    <xf numFmtId="0" fontId="26" fillId="33" borderId="0" xfId="1" applyFont="1" applyFill="1" applyBorder="1" applyAlignment="1" applyProtection="1">
      <alignment horizontal="left"/>
    </xf>
    <xf numFmtId="0" fontId="26" fillId="9" borderId="12" xfId="1" applyFont="1" applyFill="1" applyBorder="1" applyAlignment="1" applyProtection="1">
      <alignment horizontal="left"/>
    </xf>
    <xf numFmtId="0" fontId="26" fillId="9" borderId="0" xfId="1" applyFont="1" applyFill="1" applyBorder="1" applyAlignment="1" applyProtection="1">
      <alignment horizontal="left"/>
    </xf>
    <xf numFmtId="0" fontId="26" fillId="11" borderId="12" xfId="1" applyFont="1" applyFill="1" applyBorder="1" applyAlignment="1" applyProtection="1">
      <alignment horizontal="left"/>
    </xf>
    <xf numFmtId="0" fontId="26" fillId="11" borderId="0" xfId="1" applyFont="1" applyFill="1" applyBorder="1" applyAlignment="1" applyProtection="1">
      <alignment horizontal="left"/>
    </xf>
    <xf numFmtId="0" fontId="26" fillId="13" borderId="12" xfId="1" applyFont="1" applyFill="1" applyBorder="1" applyAlignment="1" applyProtection="1">
      <alignment horizontal="left"/>
    </xf>
    <xf numFmtId="0" fontId="26" fillId="13" borderId="42" xfId="1" applyFont="1" applyFill="1" applyBorder="1" applyAlignment="1" applyProtection="1">
      <alignment horizontal="left"/>
    </xf>
    <xf numFmtId="0" fontId="26" fillId="14" borderId="12" xfId="1" applyFont="1" applyFill="1" applyBorder="1" applyAlignment="1" applyProtection="1">
      <alignment horizontal="left"/>
    </xf>
    <xf numFmtId="0" fontId="26" fillId="14" borderId="42" xfId="1" applyFont="1" applyFill="1" applyBorder="1" applyAlignment="1" applyProtection="1">
      <alignment horizontal="left"/>
    </xf>
    <xf numFmtId="0" fontId="26" fillId="15" borderId="12" xfId="1" applyFont="1" applyFill="1" applyBorder="1" applyAlignment="1" applyProtection="1">
      <alignment horizontal="left"/>
    </xf>
    <xf numFmtId="0" fontId="26" fillId="15" borderId="0" xfId="1" applyFont="1" applyFill="1" applyBorder="1" applyAlignment="1" applyProtection="1">
      <alignment horizontal="left"/>
    </xf>
    <xf numFmtId="0" fontId="26" fillId="16" borderId="12" xfId="1" applyFont="1" applyFill="1" applyBorder="1" applyAlignment="1" applyProtection="1">
      <alignment horizontal="left"/>
    </xf>
    <xf numFmtId="0" fontId="26" fillId="16" borderId="0" xfId="1" applyFont="1" applyFill="1" applyBorder="1" applyAlignment="1" applyProtection="1">
      <alignment horizontal="left"/>
    </xf>
    <xf numFmtId="0" fontId="21" fillId="10" borderId="0" xfId="0" applyFont="1" applyFill="1" applyBorder="1" applyAlignment="1">
      <alignment horizontal="left" wrapText="1"/>
    </xf>
    <xf numFmtId="0" fontId="20" fillId="10" borderId="24" xfId="0" applyFont="1" applyFill="1" applyBorder="1" applyAlignment="1">
      <alignment horizontal="center"/>
    </xf>
    <xf numFmtId="0" fontId="20" fillId="10" borderId="25" xfId="0" applyFont="1" applyFill="1" applyBorder="1" applyAlignment="1">
      <alignment horizontal="center"/>
    </xf>
    <xf numFmtId="0" fontId="20" fillId="10" borderId="12" xfId="0" applyFont="1" applyFill="1" applyBorder="1" applyAlignment="1">
      <alignment wrapText="1"/>
    </xf>
    <xf numFmtId="0" fontId="20" fillId="10" borderId="0" xfId="0" applyFont="1" applyFill="1" applyBorder="1" applyAlignment="1">
      <alignment wrapText="1"/>
    </xf>
    <xf numFmtId="0" fontId="20" fillId="10" borderId="11" xfId="0" applyFont="1" applyFill="1" applyBorder="1" applyAlignment="1">
      <alignment wrapText="1"/>
    </xf>
    <xf numFmtId="0" fontId="28" fillId="20" borderId="28" xfId="0" quotePrefix="1" applyFont="1" applyFill="1" applyBorder="1" applyAlignment="1">
      <alignment horizontal="left"/>
    </xf>
    <xf numFmtId="0" fontId="28" fillId="20" borderId="29" xfId="0" applyFont="1" applyFill="1" applyBorder="1" applyAlignment="1">
      <alignment horizontal="left"/>
    </xf>
    <xf numFmtId="0" fontId="28" fillId="11" borderId="28" xfId="0" quotePrefix="1" applyFont="1" applyFill="1" applyBorder="1" applyAlignment="1">
      <alignment horizontal="left"/>
    </xf>
    <xf numFmtId="0" fontId="28" fillId="11" borderId="29" xfId="0" applyFont="1" applyFill="1" applyBorder="1" applyAlignment="1">
      <alignment horizontal="left"/>
    </xf>
    <xf numFmtId="0" fontId="20" fillId="11" borderId="12" xfId="0" quotePrefix="1" applyFont="1" applyFill="1" applyBorder="1" applyAlignment="1">
      <alignment horizontal="left" wrapText="1"/>
    </xf>
    <xf numFmtId="0" fontId="20" fillId="11" borderId="0" xfId="0" quotePrefix="1" applyFont="1" applyFill="1" applyBorder="1" applyAlignment="1">
      <alignment horizontal="left" wrapText="1"/>
    </xf>
    <xf numFmtId="0" fontId="20" fillId="11" borderId="0" xfId="0" applyFont="1" applyFill="1" applyBorder="1" applyAlignment="1">
      <alignment horizontal="left"/>
    </xf>
    <xf numFmtId="0" fontId="47" fillId="3" borderId="14" xfId="0" applyFont="1" applyFill="1" applyBorder="1" applyAlignment="1">
      <alignment horizontal="left" wrapText="1"/>
    </xf>
    <xf numFmtId="0" fontId="47" fillId="3" borderId="0" xfId="0" applyFont="1" applyFill="1" applyBorder="1" applyAlignment="1">
      <alignment horizontal="left" wrapText="1"/>
    </xf>
    <xf numFmtId="0" fontId="18" fillId="3" borderId="14" xfId="0" applyFont="1" applyFill="1" applyBorder="1" applyAlignment="1">
      <alignment horizontal="left" wrapText="1"/>
    </xf>
    <xf numFmtId="0" fontId="18" fillId="3" borderId="0" xfId="0" applyFont="1" applyFill="1" applyBorder="1" applyAlignment="1">
      <alignment horizontal="left" wrapText="1"/>
    </xf>
    <xf numFmtId="0" fontId="47" fillId="3" borderId="6" xfId="0" applyFont="1" applyFill="1" applyBorder="1" applyAlignment="1">
      <alignment horizontal="left" wrapText="1"/>
    </xf>
    <xf numFmtId="0" fontId="47" fillId="3" borderId="4" xfId="0" applyFont="1" applyFill="1" applyBorder="1" applyAlignment="1">
      <alignment horizontal="left" wrapText="1"/>
    </xf>
    <xf numFmtId="0" fontId="23" fillId="3" borderId="14" xfId="0" applyFont="1" applyFill="1" applyBorder="1" applyAlignment="1">
      <alignment wrapText="1"/>
    </xf>
    <xf numFmtId="0" fontId="23" fillId="3" borderId="0" xfId="0" applyFont="1" applyFill="1" applyBorder="1" applyAlignment="1">
      <alignment wrapText="1"/>
    </xf>
    <xf numFmtId="0" fontId="23" fillId="3" borderId="15" xfId="0" applyFont="1" applyFill="1" applyBorder="1" applyAlignment="1">
      <alignment wrapText="1"/>
    </xf>
    <xf numFmtId="0" fontId="23" fillId="3" borderId="0" xfId="0" applyFont="1" applyFill="1" applyBorder="1" applyAlignment="1">
      <alignment horizontal="left" wrapText="1"/>
    </xf>
    <xf numFmtId="0" fontId="23" fillId="0" borderId="0" xfId="1" applyFont="1" applyAlignment="1" applyProtection="1">
      <alignment horizontal="left" wrapText="1"/>
    </xf>
    <xf numFmtId="0" fontId="6" fillId="3" borderId="0" xfId="0" applyFont="1" applyFill="1" applyBorder="1"/>
    <xf numFmtId="0" fontId="6" fillId="3" borderId="0" xfId="0" applyFont="1" applyFill="1" applyBorder="1" applyAlignment="1">
      <alignment horizontal="center" vertical="center"/>
    </xf>
    <xf numFmtId="0" fontId="6" fillId="3" borderId="15" xfId="0" applyFont="1" applyFill="1" applyBorder="1" applyAlignment="1">
      <alignment horizontal="center" vertical="center"/>
    </xf>
    <xf numFmtId="0" fontId="6" fillId="3" borderId="0" xfId="0" applyFont="1" applyFill="1" applyBorder="1" applyAlignment="1">
      <alignment horizontal="left"/>
    </xf>
    <xf numFmtId="0" fontId="26" fillId="3" borderId="14" xfId="1" applyFont="1" applyFill="1" applyBorder="1" applyAlignment="1" applyProtection="1">
      <alignment horizontal="left" wrapText="1"/>
    </xf>
    <xf numFmtId="0" fontId="26" fillId="3" borderId="0" xfId="1" applyFont="1" applyFill="1" applyBorder="1" applyAlignment="1" applyProtection="1">
      <alignment horizontal="left" wrapText="1"/>
    </xf>
    <xf numFmtId="0" fontId="23" fillId="3" borderId="14" xfId="1" applyFont="1" applyFill="1" applyBorder="1" applyAlignment="1" applyProtection="1">
      <alignment horizontal="left" wrapText="1"/>
    </xf>
    <xf numFmtId="0" fontId="23" fillId="3" borderId="0" xfId="1" applyFont="1" applyFill="1" applyBorder="1" applyAlignment="1" applyProtection="1">
      <alignment horizontal="left" wrapText="1"/>
    </xf>
    <xf numFmtId="0" fontId="26" fillId="3" borderId="14" xfId="1" applyFont="1" applyFill="1" applyBorder="1" applyAlignment="1" applyProtection="1">
      <alignment wrapText="1"/>
    </xf>
    <xf numFmtId="0" fontId="26" fillId="3" borderId="0" xfId="1" applyFont="1" applyFill="1" applyBorder="1" applyAlignment="1" applyProtection="1">
      <alignment wrapText="1"/>
    </xf>
    <xf numFmtId="0" fontId="18" fillId="0" borderId="20" xfId="0" applyFont="1" applyBorder="1" applyAlignment="1">
      <alignment horizontal="left" wrapText="1"/>
    </xf>
    <xf numFmtId="0" fontId="18" fillId="0" borderId="30" xfId="0" applyFont="1" applyBorder="1" applyAlignment="1">
      <alignment horizontal="left" wrapText="1"/>
    </xf>
    <xf numFmtId="0" fontId="18" fillId="0" borderId="21" xfId="0" applyFont="1" applyBorder="1" applyAlignment="1">
      <alignment horizontal="left" wrapText="1"/>
    </xf>
    <xf numFmtId="0" fontId="10" fillId="0" borderId="0" xfId="1" applyAlignment="1" applyProtection="1">
      <alignment horizontal="center"/>
    </xf>
    <xf numFmtId="0" fontId="19" fillId="7" borderId="0" xfId="0" applyFont="1" applyFill="1" applyAlignment="1">
      <alignment horizontal="center"/>
    </xf>
    <xf numFmtId="2" fontId="19" fillId="7" borderId="0" xfId="0" applyNumberFormat="1" applyFont="1" applyFill="1" applyAlignment="1">
      <alignment horizontal="center"/>
    </xf>
    <xf numFmtId="0" fontId="19" fillId="5" borderId="0" xfId="0" applyFont="1" applyFill="1" applyAlignment="1">
      <alignment horizontal="center"/>
    </xf>
    <xf numFmtId="0" fontId="19" fillId="23" borderId="0" xfId="0" applyFont="1" applyFill="1" applyAlignment="1">
      <alignment horizontal="center"/>
    </xf>
    <xf numFmtId="0" fontId="19" fillId="20" borderId="0" xfId="0" applyFont="1" applyFill="1" applyAlignment="1">
      <alignment wrapText="1"/>
    </xf>
    <xf numFmtId="0" fontId="19" fillId="20" borderId="0" xfId="0" applyFont="1" applyFill="1" applyAlignment="1">
      <alignment horizontal="right"/>
    </xf>
    <xf numFmtId="0" fontId="19" fillId="20" borderId="0" xfId="0" applyFont="1" applyFill="1" applyAlignment="1">
      <alignment horizontal="center"/>
    </xf>
    <xf numFmtId="0" fontId="19" fillId="25" borderId="0" xfId="0" applyFont="1" applyFill="1" applyAlignment="1">
      <alignment horizontal="center"/>
    </xf>
    <xf numFmtId="0" fontId="19" fillId="9" borderId="0" xfId="0" applyFont="1" applyFill="1" applyAlignment="1">
      <alignment horizontal="center"/>
    </xf>
    <xf numFmtId="0" fontId="19" fillId="10" borderId="0" xfId="0" applyFont="1" applyFill="1" applyAlignment="1">
      <alignment horizontal="center"/>
    </xf>
    <xf numFmtId="0" fontId="6" fillId="3" borderId="0" xfId="0" applyFont="1" applyFill="1" applyBorder="1" applyAlignment="1">
      <alignment horizontal="center"/>
    </xf>
    <xf numFmtId="0" fontId="6" fillId="3" borderId="15" xfId="0" applyFont="1" applyFill="1" applyBorder="1" applyAlignment="1">
      <alignment horizontal="center"/>
    </xf>
    <xf numFmtId="0" fontId="19" fillId="20" borderId="0" xfId="0" applyFont="1" applyFill="1" applyAlignment="1">
      <alignment horizontal="left" wrapText="1"/>
    </xf>
    <xf numFmtId="0" fontId="64" fillId="3" borderId="14" xfId="1" applyFont="1" applyFill="1" applyBorder="1" applyAlignment="1" applyProtection="1">
      <alignment horizontal="left" wrapText="1"/>
    </xf>
    <xf numFmtId="0" fontId="64" fillId="3" borderId="0" xfId="1" applyFont="1" applyFill="1" applyBorder="1" applyAlignment="1" applyProtection="1">
      <alignment horizontal="left" wrapText="1"/>
    </xf>
    <xf numFmtId="0" fontId="26" fillId="3" borderId="14" xfId="1" applyFont="1" applyFill="1" applyBorder="1" applyAlignment="1" applyProtection="1"/>
    <xf numFmtId="0" fontId="26" fillId="3" borderId="0" xfId="1" applyFont="1" applyFill="1" applyBorder="1" applyAlignment="1" applyProtection="1"/>
    <xf numFmtId="0" fontId="19" fillId="0" borderId="0" xfId="0" applyFont="1" applyAlignment="1">
      <alignment horizontal="left" wrapText="1"/>
    </xf>
    <xf numFmtId="0" fontId="19" fillId="16" borderId="0" xfId="0" applyFont="1" applyFill="1" applyAlignment="1">
      <alignment horizontal="center"/>
    </xf>
    <xf numFmtId="0" fontId="25" fillId="0" borderId="0" xfId="1" applyFont="1" applyAlignment="1" applyProtection="1">
      <alignment horizontal="left"/>
    </xf>
    <xf numFmtId="0" fontId="18" fillId="0" borderId="20" xfId="0" quotePrefix="1" applyFont="1" applyBorder="1" applyAlignment="1">
      <alignment horizontal="left"/>
    </xf>
    <xf numFmtId="0" fontId="18" fillId="0" borderId="30" xfId="0" quotePrefix="1" applyFont="1" applyBorder="1" applyAlignment="1">
      <alignment horizontal="left"/>
    </xf>
    <xf numFmtId="0" fontId="18" fillId="0" borderId="21" xfId="0" quotePrefix="1" applyFont="1" applyBorder="1" applyAlignment="1">
      <alignment horizontal="left"/>
    </xf>
    <xf numFmtId="0" fontId="18" fillId="3" borderId="20" xfId="0" applyFont="1" applyFill="1" applyBorder="1" applyAlignment="1">
      <alignment horizontal="left" wrapText="1"/>
    </xf>
    <xf numFmtId="0" fontId="18" fillId="3" borderId="30" xfId="0" applyFont="1" applyFill="1" applyBorder="1" applyAlignment="1">
      <alignment horizontal="left" wrapText="1"/>
    </xf>
    <xf numFmtId="0" fontId="18" fillId="3" borderId="21" xfId="0" applyFont="1" applyFill="1" applyBorder="1" applyAlignment="1">
      <alignment horizontal="left" wrapText="1"/>
    </xf>
    <xf numFmtId="0" fontId="10" fillId="3" borderId="0" xfId="1" applyFill="1" applyAlignment="1" applyProtection="1">
      <alignment horizontal="center"/>
    </xf>
    <xf numFmtId="0" fontId="64" fillId="3" borderId="14" xfId="1" applyFont="1" applyFill="1" applyBorder="1" applyAlignment="1" applyProtection="1"/>
    <xf numFmtId="0" fontId="64" fillId="3" borderId="0" xfId="1" applyFont="1" applyFill="1" applyBorder="1" applyAlignment="1" applyProtection="1"/>
    <xf numFmtId="0" fontId="19" fillId="37" borderId="0" xfId="0" applyFont="1" applyFill="1" applyAlignment="1">
      <alignment horizontal="center"/>
    </xf>
    <xf numFmtId="0" fontId="60" fillId="3" borderId="14" xfId="1" applyFont="1" applyFill="1" applyBorder="1" applyAlignment="1" applyProtection="1"/>
    <xf numFmtId="0" fontId="60" fillId="3" borderId="0" xfId="1" applyFont="1" applyFill="1" applyBorder="1" applyAlignment="1" applyProtection="1"/>
    <xf numFmtId="0" fontId="21" fillId="7" borderId="0" xfId="0" applyFont="1" applyFill="1" applyAlignment="1">
      <alignment horizontal="center"/>
    </xf>
    <xf numFmtId="164" fontId="21" fillId="22" borderId="26" xfId="0" applyNumberFormat="1" applyFont="1" applyFill="1" applyBorder="1" applyAlignment="1">
      <alignment horizontal="center" wrapText="1"/>
    </xf>
    <xf numFmtId="164" fontId="21" fillId="22" borderId="23" xfId="0" applyNumberFormat="1" applyFont="1" applyFill="1" applyBorder="1" applyAlignment="1">
      <alignment horizontal="center" wrapText="1"/>
    </xf>
    <xf numFmtId="0" fontId="21" fillId="34" borderId="13" xfId="0" applyFont="1" applyFill="1" applyBorder="1" applyAlignment="1">
      <alignment horizontal="left" vertical="top"/>
    </xf>
    <xf numFmtId="0" fontId="3" fillId="34" borderId="2" xfId="0" applyFont="1" applyFill="1" applyBorder="1" applyAlignment="1">
      <alignment horizontal="left" vertical="top"/>
    </xf>
    <xf numFmtId="0" fontId="3" fillId="34" borderId="19" xfId="0" applyFont="1" applyFill="1" applyBorder="1" applyAlignment="1">
      <alignment horizontal="left" vertical="top"/>
    </xf>
    <xf numFmtId="0" fontId="7" fillId="0" borderId="41" xfId="0" quotePrefix="1" applyFont="1" applyBorder="1" applyAlignment="1">
      <alignment horizontal="left"/>
    </xf>
    <xf numFmtId="0" fontId="7" fillId="0" borderId="0" xfId="0" quotePrefix="1" applyFont="1" applyBorder="1" applyAlignment="1">
      <alignment horizontal="left"/>
    </xf>
    <xf numFmtId="0" fontId="3" fillId="34" borderId="13" xfId="0" applyFont="1" applyFill="1" applyBorder="1" applyAlignment="1">
      <alignment horizontal="left" vertical="top" wrapText="1"/>
    </xf>
    <xf numFmtId="0" fontId="3" fillId="34" borderId="2" xfId="0" applyFont="1" applyFill="1" applyBorder="1" applyAlignment="1">
      <alignment horizontal="left" vertical="top" wrapText="1"/>
    </xf>
    <xf numFmtId="0" fontId="3" fillId="7" borderId="13" xfId="0" applyFont="1" applyFill="1" applyBorder="1" applyAlignment="1">
      <alignment horizontal="left" vertical="top" wrapText="1"/>
    </xf>
    <xf numFmtId="0" fontId="3" fillId="7" borderId="2" xfId="0" applyFont="1" applyFill="1" applyBorder="1" applyAlignment="1">
      <alignment horizontal="left" vertical="top" wrapText="1"/>
    </xf>
    <xf numFmtId="0" fontId="3" fillId="7" borderId="19" xfId="0" applyFont="1" applyFill="1" applyBorder="1" applyAlignment="1">
      <alignment horizontal="left" vertical="top" wrapText="1"/>
    </xf>
    <xf numFmtId="0" fontId="3" fillId="34" borderId="13" xfId="0" applyFont="1" applyFill="1" applyBorder="1" applyAlignment="1">
      <alignment horizontal="left" vertical="top"/>
    </xf>
    <xf numFmtId="0" fontId="3" fillId="7" borderId="13" xfId="0" applyFont="1" applyFill="1" applyBorder="1" applyAlignment="1">
      <alignment horizontal="left" vertical="top"/>
    </xf>
    <xf numFmtId="0" fontId="3" fillId="7" borderId="2" xfId="0" applyFont="1" applyFill="1" applyBorder="1" applyAlignment="1">
      <alignment horizontal="left" vertical="top"/>
    </xf>
    <xf numFmtId="0" fontId="3" fillId="7" borderId="19" xfId="0" applyFont="1" applyFill="1" applyBorder="1" applyAlignment="1">
      <alignment horizontal="left" vertical="top"/>
    </xf>
  </cellXfs>
  <cellStyles count="3">
    <cellStyle name="Hyperlänk" xfId="1" builtinId="8"/>
    <cellStyle name="Normal" xfId="0" builtinId="0"/>
    <cellStyle name="Procent" xfId="2" builtinId="5"/>
  </cellStyles>
  <dxfs count="0"/>
  <tableStyles count="0" defaultTableStyle="TableStyleMedium9" defaultPivotStyle="PivotStyleLight16"/>
  <colors>
    <mruColors>
      <color rgb="FFFFFC91"/>
      <color rgb="FFF9C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fi-FI"/>
              <a:t>Fördelning av rörliga</a:t>
            </a:r>
            <a:r>
              <a:rPr lang="fi-FI" baseline="0"/>
              <a:t> kostnader</a:t>
            </a:r>
            <a:endParaRPr lang="fi-FI"/>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sv-FI"/>
        </a:p>
      </c:txPr>
    </c:title>
    <c:autoTitleDeleted val="0"/>
    <c:plotArea>
      <c:layout/>
      <c:pie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3170-E14F-9AC6-515F4F9680FE}"/>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3170-E14F-9AC6-515F4F9680FE}"/>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3170-E14F-9AC6-515F4F9680FE}"/>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3170-E14F-9AC6-515F4F9680FE}"/>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3170-E14F-9AC6-515F4F9680FE}"/>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B-3170-E14F-9AC6-515F4F9680FE}"/>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D-3170-E14F-9AC6-515F4F9680FE}"/>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F-3170-E14F-9AC6-515F4F9680FE}"/>
              </c:ext>
            </c:extLst>
          </c:dPt>
          <c:dPt>
            <c:idx val="8"/>
            <c:bubble3D val="0"/>
            <c:spPr>
              <a:solidFill>
                <a:schemeClr val="accent3">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1-3170-E14F-9AC6-515F4F9680FE}"/>
              </c:ext>
            </c:extLst>
          </c:dPt>
          <c:dPt>
            <c:idx val="9"/>
            <c:bubble3D val="0"/>
            <c:spPr>
              <a:solidFill>
                <a:schemeClr val="accent4">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3-3170-E14F-9AC6-515F4F9680FE}"/>
              </c:ext>
            </c:extLst>
          </c:dPt>
          <c:dPt>
            <c:idx val="10"/>
            <c:bubble3D val="0"/>
            <c:spPr>
              <a:solidFill>
                <a:schemeClr val="accent5">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5-BEF0-6B45-BDCB-C906A7354876}"/>
              </c:ext>
            </c:extLst>
          </c:dPt>
          <c:dPt>
            <c:idx val="11"/>
            <c:bubble3D val="0"/>
            <c:spPr>
              <a:solidFill>
                <a:schemeClr val="accent6">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7-BEF0-6B45-BDCB-C906A7354876}"/>
              </c:ext>
            </c:extLst>
          </c:dPt>
          <c:dPt>
            <c:idx val="12"/>
            <c:bubble3D val="0"/>
            <c:spPr>
              <a:solidFill>
                <a:schemeClr val="accent1">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9-BEF0-6B45-BDCB-C906A7354876}"/>
              </c:ext>
            </c:extLst>
          </c:dPt>
          <c:dPt>
            <c:idx val="13"/>
            <c:bubble3D val="0"/>
            <c:spPr>
              <a:solidFill>
                <a:schemeClr val="accent2">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B-9D02-9749-96A1-9332030E2C4F}"/>
              </c:ext>
            </c:extLst>
          </c:dPt>
          <c:dPt>
            <c:idx val="14"/>
            <c:bubble3D val="0"/>
            <c:spPr>
              <a:solidFill>
                <a:schemeClr val="accent3">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D-9D02-9749-96A1-9332030E2C4F}"/>
              </c:ext>
            </c:extLst>
          </c:dPt>
          <c:dPt>
            <c:idx val="15"/>
            <c:bubble3D val="0"/>
            <c:spPr>
              <a:solidFill>
                <a:schemeClr val="accent4">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F-4E11-614B-86EC-BC2187F35DD6}"/>
              </c:ext>
            </c:extLst>
          </c:dPt>
          <c:dPt>
            <c:idx val="16"/>
            <c:bubble3D val="0"/>
            <c:spPr>
              <a:solidFill>
                <a:schemeClr val="accent5">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1-4E11-614B-86EC-BC2187F35DD6}"/>
              </c:ext>
            </c:extLst>
          </c:dPt>
          <c:dPt>
            <c:idx val="17"/>
            <c:bubble3D val="0"/>
            <c:spPr>
              <a:solidFill>
                <a:schemeClr val="accent6">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3-F9FE-924E-B43A-D1DC5A85ECC8}"/>
              </c:ext>
            </c:extLst>
          </c:dPt>
          <c:dPt>
            <c:idx val="18"/>
            <c:bubble3D val="0"/>
            <c:spPr>
              <a:solidFill>
                <a:schemeClr val="accent1">
                  <a:lumMod val="8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5-F9FE-924E-B43A-D1DC5A85ECC8}"/>
              </c:ext>
            </c:extLst>
          </c:dPt>
          <c:dPt>
            <c:idx val="19"/>
            <c:bubble3D val="0"/>
            <c:spPr>
              <a:solidFill>
                <a:schemeClr val="accent2">
                  <a:lumMod val="8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7-F9FE-924E-B43A-D1DC5A85ECC8}"/>
              </c:ext>
            </c:extLst>
          </c:dPt>
          <c:dPt>
            <c:idx val="20"/>
            <c:bubble3D val="0"/>
            <c:spPr>
              <a:solidFill>
                <a:schemeClr val="accent3">
                  <a:lumMod val="8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9-F9FE-924E-B43A-D1DC5A85ECC8}"/>
              </c:ext>
            </c:extLst>
          </c:dPt>
          <c:dPt>
            <c:idx val="21"/>
            <c:bubble3D val="0"/>
            <c:spPr>
              <a:solidFill>
                <a:schemeClr val="accent4">
                  <a:lumMod val="8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B-F9FE-924E-B43A-D1DC5A85ECC8}"/>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sv-FI"/>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'Hela gårdens lönsamhet'!$C$37:$C$58</c:f>
              <c:strCache>
                <c:ptCount val="22"/>
                <c:pt idx="0">
                  <c:v>Morot</c:v>
                </c:pt>
                <c:pt idx="1">
                  <c:v>Kål</c:v>
                </c:pt>
                <c:pt idx="2">
                  <c:v>Lök</c:v>
                </c:pt>
                <c:pt idx="3">
                  <c:v>Trädgårdsärt</c:v>
                </c:pt>
                <c:pt idx="4">
                  <c:v>Grönsak från frö 1</c:v>
                </c:pt>
                <c:pt idx="5">
                  <c:v>Grönsak från frö 2</c:v>
                </c:pt>
                <c:pt idx="6">
                  <c:v>Planterad grönsak 1</c:v>
                </c:pt>
                <c:pt idx="7">
                  <c:v>Planterad grönsak 2</c:v>
                </c:pt>
                <c:pt idx="8">
                  <c:v>Planterad grönsak 3</c:v>
                </c:pt>
                <c:pt idx="9">
                  <c:v>Jordgubbe friland</c:v>
                </c:pt>
                <c:pt idx="10">
                  <c:v>Jordgubbe tunnel</c:v>
                </c:pt>
                <c:pt idx="11">
                  <c:v>Hallon friland</c:v>
                </c:pt>
                <c:pt idx="12">
                  <c:v>Hallon tunnel</c:v>
                </c:pt>
                <c:pt idx="13">
                  <c:v>Svarta vinbär</c:v>
                </c:pt>
                <c:pt idx="14">
                  <c:v>Buskblåbär</c:v>
                </c:pt>
                <c:pt idx="15">
                  <c:v>Äpple</c:v>
                </c:pt>
                <c:pt idx="16">
                  <c:v>Havre</c:v>
                </c:pt>
                <c:pt idx="17">
                  <c:v>Korn</c:v>
                </c:pt>
                <c:pt idx="18">
                  <c:v>Vete</c:v>
                </c:pt>
                <c:pt idx="19">
                  <c:v>Höstråg</c:v>
                </c:pt>
                <c:pt idx="20">
                  <c:v>Naturvårdsåker</c:v>
                </c:pt>
                <c:pt idx="21">
                  <c:v>Vall</c:v>
                </c:pt>
              </c:strCache>
            </c:strRef>
          </c:cat>
          <c:val>
            <c:numRef>
              <c:f>'Hela gårdens lönsamhet'!$J$37:$J$58</c:f>
              <c:numCache>
                <c:formatCode>#,##0</c:formatCode>
                <c:ptCount val="22"/>
                <c:pt idx="0">
                  <c:v>6860.1072592592591</c:v>
                </c:pt>
                <c:pt idx="1">
                  <c:v>10746.779259259261</c:v>
                </c:pt>
                <c:pt idx="2">
                  <c:v>8289.2127592592606</c:v>
                </c:pt>
                <c:pt idx="3">
                  <c:v>3131.8392592592591</c:v>
                </c:pt>
                <c:pt idx="4">
                  <c:v>0</c:v>
                </c:pt>
                <c:pt idx="5">
                  <c:v>0</c:v>
                </c:pt>
                <c:pt idx="6">
                  <c:v>0</c:v>
                </c:pt>
                <c:pt idx="7">
                  <c:v>0</c:v>
                </c:pt>
                <c:pt idx="8">
                  <c:v>0</c:v>
                </c:pt>
                <c:pt idx="9">
                  <c:v>158014.82518518518</c:v>
                </c:pt>
                <c:pt idx="10">
                  <c:v>96390.019259259265</c:v>
                </c:pt>
                <c:pt idx="11">
                  <c:v>151563.60303703707</c:v>
                </c:pt>
                <c:pt idx="12">
                  <c:v>12070.867259259263</c:v>
                </c:pt>
                <c:pt idx="13">
                  <c:v>104448.02807407409</c:v>
                </c:pt>
                <c:pt idx="14">
                  <c:v>24886.79405925926</c:v>
                </c:pt>
                <c:pt idx="15">
                  <c:v>85341.206044444436</c:v>
                </c:pt>
                <c:pt idx="16">
                  <c:v>3963.9934444444443</c:v>
                </c:pt>
                <c:pt idx="17">
                  <c:v>0</c:v>
                </c:pt>
                <c:pt idx="18">
                  <c:v>0</c:v>
                </c:pt>
                <c:pt idx="19">
                  <c:v>0</c:v>
                </c:pt>
                <c:pt idx="20">
                  <c:v>0</c:v>
                </c:pt>
                <c:pt idx="21">
                  <c:v>0</c:v>
                </c:pt>
              </c:numCache>
            </c:numRef>
          </c:val>
          <c:extLst>
            <c:ext xmlns:c16="http://schemas.microsoft.com/office/drawing/2014/chart" uri="{C3380CC4-5D6E-409C-BE32-E72D297353CC}">
              <c16:uniqueId val="{00000000-1B53-5E41-A0BD-B2B61540F0B9}"/>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sv-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sv-FI"/>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fi-FI"/>
              <a:t>Grönsak</a:t>
            </a:r>
            <a:r>
              <a:rPr lang="fi-FI" baseline="0"/>
              <a:t> kostnadsfördelning</a:t>
            </a:r>
            <a:endParaRPr lang="fi-FI"/>
          </a:p>
        </c:rich>
      </c:tx>
      <c:layout>
        <c:manualLayout>
          <c:xMode val="edge"/>
          <c:yMode val="edge"/>
          <c:x val="0.30559936908517349"/>
          <c:y val="1.2093987560469938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sv-FI"/>
        </a:p>
      </c:txPr>
    </c:title>
    <c:autoTitleDeleted val="0"/>
    <c:plotArea>
      <c:layout/>
      <c:pie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2A84-4743-BB7B-6E800A1A0E18}"/>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2A84-4743-BB7B-6E800A1A0E18}"/>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2A84-4743-BB7B-6E800A1A0E18}"/>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2A84-4743-BB7B-6E800A1A0E18}"/>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2A84-4743-BB7B-6E800A1A0E18}"/>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B-2A84-4743-BB7B-6E800A1A0E18}"/>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D-2A84-4743-BB7B-6E800A1A0E18}"/>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F-2A84-4743-BB7B-6E800A1A0E18}"/>
              </c:ext>
            </c:extLst>
          </c:dPt>
          <c:dPt>
            <c:idx val="8"/>
            <c:bubble3D val="0"/>
            <c:spPr>
              <a:solidFill>
                <a:schemeClr val="accent3">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1-2A84-4743-BB7B-6E800A1A0E18}"/>
              </c:ext>
            </c:extLst>
          </c:dPt>
          <c:dPt>
            <c:idx val="9"/>
            <c:bubble3D val="0"/>
            <c:spPr>
              <a:solidFill>
                <a:schemeClr val="accent4">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3-2A84-4743-BB7B-6E800A1A0E18}"/>
              </c:ext>
            </c:extLst>
          </c:dPt>
          <c:dPt>
            <c:idx val="10"/>
            <c:bubble3D val="0"/>
            <c:spPr>
              <a:solidFill>
                <a:schemeClr val="accent5">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5-2A84-4743-BB7B-6E800A1A0E18}"/>
              </c:ext>
            </c:extLst>
          </c:dPt>
          <c:dPt>
            <c:idx val="11"/>
            <c:bubble3D val="0"/>
            <c:spPr>
              <a:solidFill>
                <a:schemeClr val="accent6">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7-2A84-4743-BB7B-6E800A1A0E18}"/>
              </c:ext>
            </c:extLst>
          </c:dPt>
          <c:dPt>
            <c:idx val="12"/>
            <c:bubble3D val="0"/>
            <c:spPr>
              <a:solidFill>
                <a:schemeClr val="accent1">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9-2A84-4743-BB7B-6E800A1A0E18}"/>
              </c:ext>
            </c:extLst>
          </c:dPt>
          <c:dPt>
            <c:idx val="13"/>
            <c:bubble3D val="0"/>
            <c:spPr>
              <a:solidFill>
                <a:schemeClr val="accent2">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B-2A84-4743-BB7B-6E800A1A0E18}"/>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sv-FI"/>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Morot!$AB$26:$AB$39</c:f>
              <c:strCache>
                <c:ptCount val="14"/>
                <c:pt idx="0">
                  <c:v>Gödsel och kalk</c:v>
                </c:pt>
                <c:pt idx="1">
                  <c:v>IPM Växtskydd</c:v>
                </c:pt>
                <c:pt idx="2">
                  <c:v>Packningsmaterial</c:v>
                </c:pt>
                <c:pt idx="3">
                  <c:v>Fraktkostnader</c:v>
                </c:pt>
                <c:pt idx="4">
                  <c:v>Maskinkostnader och entreprenad</c:v>
                </c:pt>
                <c:pt idx="5">
                  <c:v>Energikostnader</c:v>
                </c:pt>
                <c:pt idx="6">
                  <c:v>Anställd arbetskraft</c:v>
                </c:pt>
                <c:pt idx="7">
                  <c:v>Allmänna kostnader</c:v>
                </c:pt>
                <c:pt idx="8">
                  <c:v>Åker arrende</c:v>
                </c:pt>
                <c:pt idx="9">
                  <c:v>Byggnader</c:v>
                </c:pt>
                <c:pt idx="10">
                  <c:v>Maskiner och utrustning</c:v>
                </c:pt>
                <c:pt idx="11">
                  <c:v>Långvariga produktionsmedel</c:v>
                </c:pt>
                <c:pt idx="12">
                  <c:v>Täckdiken</c:v>
                </c:pt>
                <c:pt idx="13">
                  <c:v>Eget arbete</c:v>
                </c:pt>
              </c:strCache>
            </c:strRef>
          </c:cat>
          <c:val>
            <c:numRef>
              <c:f>Morot!$AC$26:$AC$39</c:f>
              <c:numCache>
                <c:formatCode>0</c:formatCode>
                <c:ptCount val="14"/>
                <c:pt idx="0">
                  <c:v>1292</c:v>
                </c:pt>
                <c:pt idx="1">
                  <c:v>213.64800000000002</c:v>
                </c:pt>
                <c:pt idx="2">
                  <c:v>780</c:v>
                </c:pt>
                <c:pt idx="3">
                  <c:v>122</c:v>
                </c:pt>
                <c:pt idx="4">
                  <c:v>0</c:v>
                </c:pt>
                <c:pt idx="5">
                  <c:v>2423.1999999999998</c:v>
                </c:pt>
                <c:pt idx="6">
                  <c:v>870</c:v>
                </c:pt>
                <c:pt idx="7" formatCode="0.00">
                  <c:v>414.81481481481484</c:v>
                </c:pt>
                <c:pt idx="8" formatCode="0.00">
                  <c:v>44.444444444444443</c:v>
                </c:pt>
                <c:pt idx="9" formatCode="#,##0.00">
                  <c:v>752.8888888888888</c:v>
                </c:pt>
                <c:pt idx="10" formatCode="#,##0.00">
                  <c:v>8395.9345679012349</c:v>
                </c:pt>
                <c:pt idx="11" formatCode="#,##0.00">
                  <c:v>90.454047619047614</c:v>
                </c:pt>
                <c:pt idx="12" formatCode="#,##0.00">
                  <c:v>22.222222222222221</c:v>
                </c:pt>
                <c:pt idx="13" formatCode="0.00">
                  <c:v>2160.5</c:v>
                </c:pt>
              </c:numCache>
            </c:numRef>
          </c:val>
          <c:extLst>
            <c:ext xmlns:c16="http://schemas.microsoft.com/office/drawing/2014/chart" uri="{C3380CC4-5D6E-409C-BE32-E72D297353CC}">
              <c16:uniqueId val="{0000001C-2A84-4743-BB7B-6E800A1A0E18}"/>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sv-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sv-FI"/>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fi-FI"/>
              <a:t>Grönsak från planta kostnadsfördelning</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sv-FI"/>
        </a:p>
      </c:txPr>
    </c:title>
    <c:autoTitleDeleted val="0"/>
    <c:plotArea>
      <c:layout/>
      <c:pie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DE44-8D4A-AC61-4ABF24620D57}"/>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DE44-8D4A-AC61-4ABF24620D57}"/>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DE44-8D4A-AC61-4ABF24620D57}"/>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DE44-8D4A-AC61-4ABF24620D57}"/>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DE44-8D4A-AC61-4ABF24620D57}"/>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B-DE44-8D4A-AC61-4ABF24620D57}"/>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D-DE44-8D4A-AC61-4ABF24620D57}"/>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F-DE44-8D4A-AC61-4ABF24620D57}"/>
              </c:ext>
            </c:extLst>
          </c:dPt>
          <c:dPt>
            <c:idx val="8"/>
            <c:bubble3D val="0"/>
            <c:spPr>
              <a:solidFill>
                <a:schemeClr val="accent3">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1-DE44-8D4A-AC61-4ABF24620D57}"/>
              </c:ext>
            </c:extLst>
          </c:dPt>
          <c:dPt>
            <c:idx val="9"/>
            <c:bubble3D val="0"/>
            <c:spPr>
              <a:solidFill>
                <a:schemeClr val="accent4">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3-DE44-8D4A-AC61-4ABF24620D57}"/>
              </c:ext>
            </c:extLst>
          </c:dPt>
          <c:dPt>
            <c:idx val="10"/>
            <c:bubble3D val="0"/>
            <c:spPr>
              <a:solidFill>
                <a:schemeClr val="accent5">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5-DE44-8D4A-AC61-4ABF24620D57}"/>
              </c:ext>
            </c:extLst>
          </c:dPt>
          <c:dPt>
            <c:idx val="11"/>
            <c:bubble3D val="0"/>
            <c:spPr>
              <a:solidFill>
                <a:schemeClr val="accent6">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7-DE44-8D4A-AC61-4ABF24620D57}"/>
              </c:ext>
            </c:extLst>
          </c:dPt>
          <c:dPt>
            <c:idx val="12"/>
            <c:bubble3D val="0"/>
            <c:spPr>
              <a:solidFill>
                <a:schemeClr val="accent1">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9-DE44-8D4A-AC61-4ABF24620D57}"/>
              </c:ext>
            </c:extLst>
          </c:dPt>
          <c:dPt>
            <c:idx val="13"/>
            <c:bubble3D val="0"/>
            <c:spPr>
              <a:solidFill>
                <a:schemeClr val="accent2">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B-DE44-8D4A-AC61-4ABF24620D57}"/>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sv-FI"/>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Kål!$AB$26:$AB$39</c:f>
              <c:strCache>
                <c:ptCount val="14"/>
                <c:pt idx="0">
                  <c:v>Gödsel och kalk</c:v>
                </c:pt>
                <c:pt idx="1">
                  <c:v>IPM Växtskydd</c:v>
                </c:pt>
                <c:pt idx="2">
                  <c:v>Packningsmaterial</c:v>
                </c:pt>
                <c:pt idx="3">
                  <c:v>Fraktkostnader</c:v>
                </c:pt>
                <c:pt idx="4">
                  <c:v>Maskinkostnader och entreprenad</c:v>
                </c:pt>
                <c:pt idx="5">
                  <c:v>Energikostnader</c:v>
                </c:pt>
                <c:pt idx="6">
                  <c:v>Anställd arbetskraft</c:v>
                </c:pt>
                <c:pt idx="7">
                  <c:v>Allmänna kostnader</c:v>
                </c:pt>
                <c:pt idx="8">
                  <c:v>Åkerns arrende</c:v>
                </c:pt>
                <c:pt idx="9">
                  <c:v>Byggnader</c:v>
                </c:pt>
                <c:pt idx="10">
                  <c:v>Maskiner och utrustning</c:v>
                </c:pt>
                <c:pt idx="11">
                  <c:v>Långvariga produktionsmedel</c:v>
                </c:pt>
                <c:pt idx="12">
                  <c:v>Täckdiken</c:v>
                </c:pt>
                <c:pt idx="13">
                  <c:v>Eget arbete</c:v>
                </c:pt>
              </c:strCache>
            </c:strRef>
          </c:cat>
          <c:val>
            <c:numRef>
              <c:f>Kål!$AC$26:$AC$39</c:f>
              <c:numCache>
                <c:formatCode>0</c:formatCode>
                <c:ptCount val="14"/>
                <c:pt idx="0">
                  <c:v>1720</c:v>
                </c:pt>
                <c:pt idx="1">
                  <c:v>55.92</c:v>
                </c:pt>
                <c:pt idx="2">
                  <c:v>2750</c:v>
                </c:pt>
                <c:pt idx="3">
                  <c:v>990</c:v>
                </c:pt>
                <c:pt idx="4">
                  <c:v>0</c:v>
                </c:pt>
                <c:pt idx="5">
                  <c:v>2406.6</c:v>
                </c:pt>
                <c:pt idx="6">
                  <c:v>1015</c:v>
                </c:pt>
                <c:pt idx="7" formatCode="0.00">
                  <c:v>414.81481481481484</c:v>
                </c:pt>
                <c:pt idx="8" formatCode="0.00">
                  <c:v>44.444444444444443</c:v>
                </c:pt>
                <c:pt idx="9" formatCode="#,##0.00">
                  <c:v>752.8888888888888</c:v>
                </c:pt>
                <c:pt idx="10" formatCode="#,##0.00">
                  <c:v>3449.2679012345675</c:v>
                </c:pt>
                <c:pt idx="11" formatCode="#,##0.00">
                  <c:v>90.454047619047614</c:v>
                </c:pt>
                <c:pt idx="12" formatCode="#,##0.00">
                  <c:v>22.222222222222221</c:v>
                </c:pt>
                <c:pt idx="13" formatCode="0.00">
                  <c:v>2088</c:v>
                </c:pt>
              </c:numCache>
            </c:numRef>
          </c:val>
          <c:extLst>
            <c:ext xmlns:c16="http://schemas.microsoft.com/office/drawing/2014/chart" uri="{C3380CC4-5D6E-409C-BE32-E72D297353CC}">
              <c16:uniqueId val="{0000001C-DE44-8D4A-AC61-4ABF24620D57}"/>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sv-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sv-FI"/>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fi-FI"/>
              <a:t>Grönsak från</a:t>
            </a:r>
            <a:r>
              <a:rPr lang="fi-FI" baseline="0"/>
              <a:t> planta kostnadsfördelning</a:t>
            </a:r>
            <a:endParaRPr lang="fi-FI"/>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sv-FI"/>
        </a:p>
      </c:txPr>
    </c:title>
    <c:autoTitleDeleted val="0"/>
    <c:plotArea>
      <c:layout/>
      <c:pie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F365-3B44-BC22-0236D1179A58}"/>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F365-3B44-BC22-0236D1179A58}"/>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F365-3B44-BC22-0236D1179A58}"/>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F365-3B44-BC22-0236D1179A58}"/>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F365-3B44-BC22-0236D1179A58}"/>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B-F365-3B44-BC22-0236D1179A58}"/>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D-F365-3B44-BC22-0236D1179A58}"/>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F-F365-3B44-BC22-0236D1179A58}"/>
              </c:ext>
            </c:extLst>
          </c:dPt>
          <c:dPt>
            <c:idx val="8"/>
            <c:bubble3D val="0"/>
            <c:spPr>
              <a:solidFill>
                <a:schemeClr val="accent3">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1-F365-3B44-BC22-0236D1179A58}"/>
              </c:ext>
            </c:extLst>
          </c:dPt>
          <c:dPt>
            <c:idx val="9"/>
            <c:bubble3D val="0"/>
            <c:spPr>
              <a:solidFill>
                <a:schemeClr val="accent4">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3-F365-3B44-BC22-0236D1179A58}"/>
              </c:ext>
            </c:extLst>
          </c:dPt>
          <c:dPt>
            <c:idx val="10"/>
            <c:bubble3D val="0"/>
            <c:spPr>
              <a:solidFill>
                <a:schemeClr val="accent5">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5-F365-3B44-BC22-0236D1179A58}"/>
              </c:ext>
            </c:extLst>
          </c:dPt>
          <c:dPt>
            <c:idx val="11"/>
            <c:bubble3D val="0"/>
            <c:spPr>
              <a:solidFill>
                <a:schemeClr val="accent6">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7-F365-3B44-BC22-0236D1179A58}"/>
              </c:ext>
            </c:extLst>
          </c:dPt>
          <c:dPt>
            <c:idx val="12"/>
            <c:bubble3D val="0"/>
            <c:spPr>
              <a:solidFill>
                <a:schemeClr val="accent1">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9-F365-3B44-BC22-0236D1179A58}"/>
              </c:ext>
            </c:extLst>
          </c:dPt>
          <c:dPt>
            <c:idx val="13"/>
            <c:bubble3D val="0"/>
            <c:spPr>
              <a:solidFill>
                <a:schemeClr val="accent2">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B-F365-3B44-BC22-0236D1179A58}"/>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sv-FI"/>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Kål!$AB$26:$AB$39</c:f>
              <c:strCache>
                <c:ptCount val="14"/>
                <c:pt idx="0">
                  <c:v>Gödsel och kalk</c:v>
                </c:pt>
                <c:pt idx="1">
                  <c:v>IPM Växtskydd</c:v>
                </c:pt>
                <c:pt idx="2">
                  <c:v>Packningsmaterial</c:v>
                </c:pt>
                <c:pt idx="3">
                  <c:v>Fraktkostnader</c:v>
                </c:pt>
                <c:pt idx="4">
                  <c:v>Maskinkostnader och entreprenad</c:v>
                </c:pt>
                <c:pt idx="5">
                  <c:v>Energikostnader</c:v>
                </c:pt>
                <c:pt idx="6">
                  <c:v>Anställd arbetskraft</c:v>
                </c:pt>
                <c:pt idx="7">
                  <c:v>Allmänna kostnader</c:v>
                </c:pt>
                <c:pt idx="8">
                  <c:v>Åkerns arrende</c:v>
                </c:pt>
                <c:pt idx="9">
                  <c:v>Byggnader</c:v>
                </c:pt>
                <c:pt idx="10">
                  <c:v>Maskiner och utrustning</c:v>
                </c:pt>
                <c:pt idx="11">
                  <c:v>Långvariga produktionsmedel</c:v>
                </c:pt>
                <c:pt idx="12">
                  <c:v>Täckdiken</c:v>
                </c:pt>
                <c:pt idx="13">
                  <c:v>Eget arbete</c:v>
                </c:pt>
              </c:strCache>
            </c:strRef>
          </c:cat>
          <c:val>
            <c:numRef>
              <c:f>Kål!$AC$26:$AC$39</c:f>
              <c:numCache>
                <c:formatCode>0</c:formatCode>
                <c:ptCount val="14"/>
                <c:pt idx="0">
                  <c:v>1720</c:v>
                </c:pt>
                <c:pt idx="1">
                  <c:v>55.92</c:v>
                </c:pt>
                <c:pt idx="2">
                  <c:v>2750</c:v>
                </c:pt>
                <c:pt idx="3">
                  <c:v>990</c:v>
                </c:pt>
                <c:pt idx="4">
                  <c:v>0</c:v>
                </c:pt>
                <c:pt idx="5">
                  <c:v>2406.6</c:v>
                </c:pt>
                <c:pt idx="6">
                  <c:v>1015</c:v>
                </c:pt>
                <c:pt idx="7" formatCode="0.00">
                  <c:v>414.81481481481484</c:v>
                </c:pt>
                <c:pt idx="8" formatCode="0.00">
                  <c:v>44.444444444444443</c:v>
                </c:pt>
                <c:pt idx="9" formatCode="#,##0.00">
                  <c:v>752.8888888888888</c:v>
                </c:pt>
                <c:pt idx="10" formatCode="#,##0.00">
                  <c:v>3449.2679012345675</c:v>
                </c:pt>
                <c:pt idx="11" formatCode="#,##0.00">
                  <c:v>90.454047619047614</c:v>
                </c:pt>
                <c:pt idx="12" formatCode="#,##0.00">
                  <c:v>22.222222222222221</c:v>
                </c:pt>
                <c:pt idx="13" formatCode="0.00">
                  <c:v>2088</c:v>
                </c:pt>
              </c:numCache>
            </c:numRef>
          </c:val>
          <c:extLst>
            <c:ext xmlns:c16="http://schemas.microsoft.com/office/drawing/2014/chart" uri="{C3380CC4-5D6E-409C-BE32-E72D297353CC}">
              <c16:uniqueId val="{0000001C-F365-3B44-BC22-0236D1179A58}"/>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sv-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sv-FI"/>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fi-FI"/>
              <a:t>Grönsak från planta kostnadsfördelning</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sv-FI"/>
        </a:p>
      </c:txPr>
    </c:title>
    <c:autoTitleDeleted val="0"/>
    <c:plotArea>
      <c:layout/>
      <c:pie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92EA-4F42-815B-89EC38705A75}"/>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92EA-4F42-815B-89EC38705A75}"/>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92EA-4F42-815B-89EC38705A75}"/>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92EA-4F42-815B-89EC38705A75}"/>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92EA-4F42-815B-89EC38705A75}"/>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B-92EA-4F42-815B-89EC38705A75}"/>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D-92EA-4F42-815B-89EC38705A75}"/>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F-92EA-4F42-815B-89EC38705A75}"/>
              </c:ext>
            </c:extLst>
          </c:dPt>
          <c:dPt>
            <c:idx val="8"/>
            <c:bubble3D val="0"/>
            <c:spPr>
              <a:solidFill>
                <a:schemeClr val="accent3">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1-92EA-4F42-815B-89EC38705A75}"/>
              </c:ext>
            </c:extLst>
          </c:dPt>
          <c:dPt>
            <c:idx val="9"/>
            <c:bubble3D val="0"/>
            <c:spPr>
              <a:solidFill>
                <a:schemeClr val="accent4">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3-92EA-4F42-815B-89EC38705A75}"/>
              </c:ext>
            </c:extLst>
          </c:dPt>
          <c:dPt>
            <c:idx val="10"/>
            <c:bubble3D val="0"/>
            <c:spPr>
              <a:solidFill>
                <a:schemeClr val="accent5">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5-92EA-4F42-815B-89EC38705A75}"/>
              </c:ext>
            </c:extLst>
          </c:dPt>
          <c:dPt>
            <c:idx val="11"/>
            <c:bubble3D val="0"/>
            <c:spPr>
              <a:solidFill>
                <a:schemeClr val="accent6">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7-92EA-4F42-815B-89EC38705A75}"/>
              </c:ext>
            </c:extLst>
          </c:dPt>
          <c:dPt>
            <c:idx val="12"/>
            <c:bubble3D val="0"/>
            <c:spPr>
              <a:solidFill>
                <a:schemeClr val="accent1">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9-92EA-4F42-815B-89EC38705A75}"/>
              </c:ext>
            </c:extLst>
          </c:dPt>
          <c:dPt>
            <c:idx val="13"/>
            <c:bubble3D val="0"/>
            <c:spPr>
              <a:solidFill>
                <a:schemeClr val="accent2">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B-92EA-4F42-815B-89EC38705A75}"/>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sv-FI"/>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Kål!$AB$26:$AB$39</c:f>
              <c:strCache>
                <c:ptCount val="14"/>
                <c:pt idx="0">
                  <c:v>Gödsel och kalk</c:v>
                </c:pt>
                <c:pt idx="1">
                  <c:v>IPM Växtskydd</c:v>
                </c:pt>
                <c:pt idx="2">
                  <c:v>Packningsmaterial</c:v>
                </c:pt>
                <c:pt idx="3">
                  <c:v>Fraktkostnader</c:v>
                </c:pt>
                <c:pt idx="4">
                  <c:v>Maskinkostnader och entreprenad</c:v>
                </c:pt>
                <c:pt idx="5">
                  <c:v>Energikostnader</c:v>
                </c:pt>
                <c:pt idx="6">
                  <c:v>Anställd arbetskraft</c:v>
                </c:pt>
                <c:pt idx="7">
                  <c:v>Allmänna kostnader</c:v>
                </c:pt>
                <c:pt idx="8">
                  <c:v>Åkerns arrende</c:v>
                </c:pt>
                <c:pt idx="9">
                  <c:v>Byggnader</c:v>
                </c:pt>
                <c:pt idx="10">
                  <c:v>Maskiner och utrustning</c:v>
                </c:pt>
                <c:pt idx="11">
                  <c:v>Långvariga produktionsmedel</c:v>
                </c:pt>
                <c:pt idx="12">
                  <c:v>Täckdiken</c:v>
                </c:pt>
                <c:pt idx="13">
                  <c:v>Eget arbete</c:v>
                </c:pt>
              </c:strCache>
            </c:strRef>
          </c:cat>
          <c:val>
            <c:numRef>
              <c:f>Kål!$AC$26:$AC$39</c:f>
              <c:numCache>
                <c:formatCode>0</c:formatCode>
                <c:ptCount val="14"/>
                <c:pt idx="0">
                  <c:v>1720</c:v>
                </c:pt>
                <c:pt idx="1">
                  <c:v>55.92</c:v>
                </c:pt>
                <c:pt idx="2">
                  <c:v>2750</c:v>
                </c:pt>
                <c:pt idx="3">
                  <c:v>990</c:v>
                </c:pt>
                <c:pt idx="4">
                  <c:v>0</c:v>
                </c:pt>
                <c:pt idx="5">
                  <c:v>2406.6</c:v>
                </c:pt>
                <c:pt idx="6">
                  <c:v>1015</c:v>
                </c:pt>
                <c:pt idx="7" formatCode="0.00">
                  <c:v>414.81481481481484</c:v>
                </c:pt>
                <c:pt idx="8" formatCode="0.00">
                  <c:v>44.444444444444443</c:v>
                </c:pt>
                <c:pt idx="9" formatCode="#,##0.00">
                  <c:v>752.8888888888888</c:v>
                </c:pt>
                <c:pt idx="10" formatCode="#,##0.00">
                  <c:v>3449.2679012345675</c:v>
                </c:pt>
                <c:pt idx="11" formatCode="#,##0.00">
                  <c:v>90.454047619047614</c:v>
                </c:pt>
                <c:pt idx="12" formatCode="#,##0.00">
                  <c:v>22.222222222222221</c:v>
                </c:pt>
                <c:pt idx="13" formatCode="0.00">
                  <c:v>2088</c:v>
                </c:pt>
              </c:numCache>
            </c:numRef>
          </c:val>
          <c:extLst>
            <c:ext xmlns:c16="http://schemas.microsoft.com/office/drawing/2014/chart" uri="{C3380CC4-5D6E-409C-BE32-E72D297353CC}">
              <c16:uniqueId val="{0000001C-92EA-4F42-815B-89EC38705A75}"/>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sv-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sv-FI"/>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fi-FI"/>
              <a:t>Fördelning av skördeårens kostnader</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sv-FI"/>
        </a:p>
      </c:txPr>
    </c:title>
    <c:autoTitleDeleted val="0"/>
    <c:plotArea>
      <c:layout/>
      <c:pie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3899-CE41-856F-5722813CC5FC}"/>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3899-CE41-856F-5722813CC5FC}"/>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3899-CE41-856F-5722813CC5FC}"/>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3899-CE41-856F-5722813CC5FC}"/>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3899-CE41-856F-5722813CC5FC}"/>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B-3899-CE41-856F-5722813CC5FC}"/>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D-3899-CE41-856F-5722813CC5FC}"/>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F-3899-CE41-856F-5722813CC5FC}"/>
              </c:ext>
            </c:extLst>
          </c:dPt>
          <c:dPt>
            <c:idx val="8"/>
            <c:bubble3D val="0"/>
            <c:spPr>
              <a:solidFill>
                <a:schemeClr val="accent3">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1-3899-CE41-856F-5722813CC5FC}"/>
              </c:ext>
            </c:extLst>
          </c:dPt>
          <c:dPt>
            <c:idx val="9"/>
            <c:bubble3D val="0"/>
            <c:spPr>
              <a:solidFill>
                <a:schemeClr val="accent4">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3-3899-CE41-856F-5722813CC5FC}"/>
              </c:ext>
            </c:extLst>
          </c:dPt>
          <c:dPt>
            <c:idx val="10"/>
            <c:bubble3D val="0"/>
            <c:spPr>
              <a:solidFill>
                <a:schemeClr val="accent5">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5-3899-CE41-856F-5722813CC5FC}"/>
              </c:ext>
            </c:extLst>
          </c:dPt>
          <c:dPt>
            <c:idx val="11"/>
            <c:bubble3D val="0"/>
            <c:spPr>
              <a:solidFill>
                <a:schemeClr val="accent6">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7-3899-CE41-856F-5722813CC5FC}"/>
              </c:ext>
            </c:extLst>
          </c:dPt>
          <c:dPt>
            <c:idx val="12"/>
            <c:bubble3D val="0"/>
            <c:spPr>
              <a:solidFill>
                <a:schemeClr val="accent1">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9-3899-CE41-856F-5722813CC5FC}"/>
              </c:ext>
            </c:extLst>
          </c:dPt>
          <c:dPt>
            <c:idx val="13"/>
            <c:bubble3D val="0"/>
            <c:spPr>
              <a:solidFill>
                <a:schemeClr val="accent2">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B-3899-CE41-856F-5722813CC5FC}"/>
              </c:ext>
            </c:extLst>
          </c:dPt>
          <c:dPt>
            <c:idx val="14"/>
            <c:bubble3D val="0"/>
            <c:spPr>
              <a:solidFill>
                <a:schemeClr val="accent3">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D-9DE3-F148-9C6A-89352668F340}"/>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sv-FI"/>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'Jordgubbe friland'!$AB$25:$AB$39</c:f>
              <c:strCache>
                <c:ptCount val="15"/>
                <c:pt idx="0">
                  <c:v>Gödsel och kalk</c:v>
                </c:pt>
                <c:pt idx="1">
                  <c:v>IPM Växtskydd</c:v>
                </c:pt>
                <c:pt idx="2">
                  <c:v>Pollinering</c:v>
                </c:pt>
                <c:pt idx="3">
                  <c:v>Förpackningsmaterial</c:v>
                </c:pt>
                <c:pt idx="4">
                  <c:v>Frakt av produkter</c:v>
                </c:pt>
                <c:pt idx="5">
                  <c:v>Maskinhyra och entreprenad</c:v>
                </c:pt>
                <c:pt idx="6">
                  <c:v>Energikostnader</c:v>
                </c:pt>
                <c:pt idx="7">
                  <c:v>Anställd personal</c:v>
                </c:pt>
                <c:pt idx="8">
                  <c:v>Allmänna kostnader</c:v>
                </c:pt>
                <c:pt idx="9">
                  <c:v>Åkerns arrende</c:v>
                </c:pt>
                <c:pt idx="10">
                  <c:v>Byggnader</c:v>
                </c:pt>
                <c:pt idx="11">
                  <c:v>Maskiner och utrustning</c:v>
                </c:pt>
                <c:pt idx="12">
                  <c:v>Långvariga produktionsförnödenheter</c:v>
                </c:pt>
                <c:pt idx="13">
                  <c:v>Täckdiken</c:v>
                </c:pt>
                <c:pt idx="14">
                  <c:v>Eget arbete</c:v>
                </c:pt>
              </c:strCache>
            </c:strRef>
          </c:cat>
          <c:val>
            <c:numRef>
              <c:f>'Jordgubbe friland'!$AC$25:$AC$39</c:f>
              <c:numCache>
                <c:formatCode>0.00</c:formatCode>
                <c:ptCount val="15"/>
                <c:pt idx="0">
                  <c:v>600</c:v>
                </c:pt>
                <c:pt idx="1">
                  <c:v>1229.3</c:v>
                </c:pt>
                <c:pt idx="2">
                  <c:v>800</c:v>
                </c:pt>
                <c:pt idx="3">
                  <c:v>544</c:v>
                </c:pt>
                <c:pt idx="4">
                  <c:v>2550</c:v>
                </c:pt>
                <c:pt idx="5">
                  <c:v>0</c:v>
                </c:pt>
                <c:pt idx="6">
                  <c:v>1392.3679999999999</c:v>
                </c:pt>
                <c:pt idx="7">
                  <c:v>19205</c:v>
                </c:pt>
                <c:pt idx="8">
                  <c:v>414.81481481481489</c:v>
                </c:pt>
                <c:pt idx="9">
                  <c:v>222.22222222222223</c:v>
                </c:pt>
                <c:pt idx="10" formatCode="#,##0.00">
                  <c:v>752.8888888888888</c:v>
                </c:pt>
                <c:pt idx="11" formatCode="#,##0.00">
                  <c:v>397.72810123456787</c:v>
                </c:pt>
                <c:pt idx="12" formatCode="#,##0.00">
                  <c:v>296.24738095238092</c:v>
                </c:pt>
                <c:pt idx="13" formatCode="#,##0.00">
                  <c:v>22.222222222222221</c:v>
                </c:pt>
                <c:pt idx="14">
                  <c:v>3361.583333333333</c:v>
                </c:pt>
              </c:numCache>
            </c:numRef>
          </c:val>
          <c:extLst>
            <c:ext xmlns:c16="http://schemas.microsoft.com/office/drawing/2014/chart" uri="{C3380CC4-5D6E-409C-BE32-E72D297353CC}">
              <c16:uniqueId val="{00000000-0491-3E47-8013-D1F0FDD1FD3C}"/>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sv-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sv-FI"/>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fi-FI"/>
              <a:t>Fördelning av skördeårens kostnad</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sv-FI"/>
        </a:p>
      </c:txPr>
    </c:title>
    <c:autoTitleDeleted val="0"/>
    <c:plotArea>
      <c:layout/>
      <c:pie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674E-B644-9A3D-283CC47C07DE}"/>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674E-B644-9A3D-283CC47C07DE}"/>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674E-B644-9A3D-283CC47C07DE}"/>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674E-B644-9A3D-283CC47C07DE}"/>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674E-B644-9A3D-283CC47C07DE}"/>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B-674E-B644-9A3D-283CC47C07DE}"/>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D-674E-B644-9A3D-283CC47C07DE}"/>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F-674E-B644-9A3D-283CC47C07DE}"/>
              </c:ext>
            </c:extLst>
          </c:dPt>
          <c:dPt>
            <c:idx val="8"/>
            <c:bubble3D val="0"/>
            <c:spPr>
              <a:solidFill>
                <a:schemeClr val="accent3">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1-674E-B644-9A3D-283CC47C07DE}"/>
              </c:ext>
            </c:extLst>
          </c:dPt>
          <c:dPt>
            <c:idx val="9"/>
            <c:bubble3D val="0"/>
            <c:spPr>
              <a:solidFill>
                <a:schemeClr val="accent4">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3-674E-B644-9A3D-283CC47C07DE}"/>
              </c:ext>
            </c:extLst>
          </c:dPt>
          <c:dPt>
            <c:idx val="10"/>
            <c:bubble3D val="0"/>
            <c:spPr>
              <a:solidFill>
                <a:schemeClr val="accent5">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5-674E-B644-9A3D-283CC47C07DE}"/>
              </c:ext>
            </c:extLst>
          </c:dPt>
          <c:dPt>
            <c:idx val="11"/>
            <c:bubble3D val="0"/>
            <c:spPr>
              <a:solidFill>
                <a:schemeClr val="accent6">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7-674E-B644-9A3D-283CC47C07DE}"/>
              </c:ext>
            </c:extLst>
          </c:dPt>
          <c:dPt>
            <c:idx val="12"/>
            <c:bubble3D val="0"/>
            <c:spPr>
              <a:solidFill>
                <a:schemeClr val="accent1">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9-674E-B644-9A3D-283CC47C07DE}"/>
              </c:ext>
            </c:extLst>
          </c:dPt>
          <c:dPt>
            <c:idx val="13"/>
            <c:bubble3D val="0"/>
            <c:spPr>
              <a:solidFill>
                <a:schemeClr val="accent2">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B-674E-B644-9A3D-283CC47C07DE}"/>
              </c:ext>
            </c:extLst>
          </c:dPt>
          <c:dPt>
            <c:idx val="14"/>
            <c:bubble3D val="0"/>
            <c:spPr>
              <a:solidFill>
                <a:schemeClr val="accent3">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D-BB8C-6D4B-975D-1871283C13D6}"/>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sv-FI"/>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'Jordgubbe friland'!$AB$25:$AB$39</c:f>
              <c:strCache>
                <c:ptCount val="15"/>
                <c:pt idx="0">
                  <c:v>Gödsel och kalk</c:v>
                </c:pt>
                <c:pt idx="1">
                  <c:v>IPM Växtskydd</c:v>
                </c:pt>
                <c:pt idx="2">
                  <c:v>Pollinering</c:v>
                </c:pt>
                <c:pt idx="3">
                  <c:v>Förpackningsmaterial</c:v>
                </c:pt>
                <c:pt idx="4">
                  <c:v>Frakt av produkter</c:v>
                </c:pt>
                <c:pt idx="5">
                  <c:v>Maskinhyra och entreprenad</c:v>
                </c:pt>
                <c:pt idx="6">
                  <c:v>Energikostnader</c:v>
                </c:pt>
                <c:pt idx="7">
                  <c:v>Anställd personal</c:v>
                </c:pt>
                <c:pt idx="8">
                  <c:v>Allmänna kostnader</c:v>
                </c:pt>
                <c:pt idx="9">
                  <c:v>Åkerns arrende</c:v>
                </c:pt>
                <c:pt idx="10">
                  <c:v>Byggnader</c:v>
                </c:pt>
                <c:pt idx="11">
                  <c:v>Maskiner och utrustning</c:v>
                </c:pt>
                <c:pt idx="12">
                  <c:v>Långvariga produktionsförnödenheter</c:v>
                </c:pt>
                <c:pt idx="13">
                  <c:v>Täckdiken</c:v>
                </c:pt>
                <c:pt idx="14">
                  <c:v>Eget arbete</c:v>
                </c:pt>
              </c:strCache>
            </c:strRef>
          </c:cat>
          <c:val>
            <c:numRef>
              <c:f>'Jordgubbe friland'!$AC$25:$AC$39</c:f>
              <c:numCache>
                <c:formatCode>0.00</c:formatCode>
                <c:ptCount val="15"/>
                <c:pt idx="0">
                  <c:v>600</c:v>
                </c:pt>
                <c:pt idx="1">
                  <c:v>1229.3</c:v>
                </c:pt>
                <c:pt idx="2">
                  <c:v>800</c:v>
                </c:pt>
                <c:pt idx="3">
                  <c:v>544</c:v>
                </c:pt>
                <c:pt idx="4">
                  <c:v>2550</c:v>
                </c:pt>
                <c:pt idx="5">
                  <c:v>0</c:v>
                </c:pt>
                <c:pt idx="6">
                  <c:v>1392.3679999999999</c:v>
                </c:pt>
                <c:pt idx="7">
                  <c:v>19205</c:v>
                </c:pt>
                <c:pt idx="8">
                  <c:v>414.81481481481489</c:v>
                </c:pt>
                <c:pt idx="9">
                  <c:v>222.22222222222223</c:v>
                </c:pt>
                <c:pt idx="10" formatCode="#,##0.00">
                  <c:v>752.8888888888888</c:v>
                </c:pt>
                <c:pt idx="11" formatCode="#,##0.00">
                  <c:v>397.72810123456787</c:v>
                </c:pt>
                <c:pt idx="12" formatCode="#,##0.00">
                  <c:v>296.24738095238092</c:v>
                </c:pt>
                <c:pt idx="13" formatCode="#,##0.00">
                  <c:v>22.222222222222221</c:v>
                </c:pt>
                <c:pt idx="14">
                  <c:v>3361.583333333333</c:v>
                </c:pt>
              </c:numCache>
            </c:numRef>
          </c:val>
          <c:extLst>
            <c:ext xmlns:c16="http://schemas.microsoft.com/office/drawing/2014/chart" uri="{C3380CC4-5D6E-409C-BE32-E72D297353CC}">
              <c16:uniqueId val="{0000001C-674E-B644-9A3D-283CC47C07DE}"/>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sv-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sv-FI"/>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Fördelning av kostnader hallon på friland</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sv-FI"/>
        </a:p>
      </c:txPr>
    </c:title>
    <c:autoTitleDeleted val="0"/>
    <c:plotArea>
      <c:layout/>
      <c:pie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33E1-0D49-B02A-43010B54EB9D}"/>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33E1-0D49-B02A-43010B54EB9D}"/>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33E1-0D49-B02A-43010B54EB9D}"/>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33E1-0D49-B02A-43010B54EB9D}"/>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33E1-0D49-B02A-43010B54EB9D}"/>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B-33E1-0D49-B02A-43010B54EB9D}"/>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D-33E1-0D49-B02A-43010B54EB9D}"/>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F-33E1-0D49-B02A-43010B54EB9D}"/>
              </c:ext>
            </c:extLst>
          </c:dPt>
          <c:dPt>
            <c:idx val="8"/>
            <c:bubble3D val="0"/>
            <c:spPr>
              <a:solidFill>
                <a:schemeClr val="accent3">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1-33E1-0D49-B02A-43010B54EB9D}"/>
              </c:ext>
            </c:extLst>
          </c:dPt>
          <c:dPt>
            <c:idx val="9"/>
            <c:bubble3D val="0"/>
            <c:spPr>
              <a:solidFill>
                <a:schemeClr val="accent4">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3-33E1-0D49-B02A-43010B54EB9D}"/>
              </c:ext>
            </c:extLst>
          </c:dPt>
          <c:dPt>
            <c:idx val="10"/>
            <c:bubble3D val="0"/>
            <c:spPr>
              <a:solidFill>
                <a:schemeClr val="accent5">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5-33E1-0D49-B02A-43010B54EB9D}"/>
              </c:ext>
            </c:extLst>
          </c:dPt>
          <c:dPt>
            <c:idx val="11"/>
            <c:bubble3D val="0"/>
            <c:spPr>
              <a:solidFill>
                <a:schemeClr val="accent6">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7-33E1-0D49-B02A-43010B54EB9D}"/>
              </c:ext>
            </c:extLst>
          </c:dPt>
          <c:dPt>
            <c:idx val="12"/>
            <c:bubble3D val="0"/>
            <c:spPr>
              <a:solidFill>
                <a:schemeClr val="accent1">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9-33E1-0D49-B02A-43010B54EB9D}"/>
              </c:ext>
            </c:extLst>
          </c:dPt>
          <c:dPt>
            <c:idx val="13"/>
            <c:bubble3D val="0"/>
            <c:spPr>
              <a:solidFill>
                <a:schemeClr val="accent2">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B-E255-7844-BA3D-52CBE5BAAF20}"/>
              </c:ext>
            </c:extLst>
          </c:dPt>
          <c:dPt>
            <c:idx val="14"/>
            <c:bubble3D val="0"/>
            <c:spPr>
              <a:solidFill>
                <a:schemeClr val="accent3">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D-E255-7844-BA3D-52CBE5BAAF20}"/>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sv-FI"/>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'Hallon friland'!$Y$28:$Y$42</c:f>
              <c:strCache>
                <c:ptCount val="15"/>
                <c:pt idx="0">
                  <c:v>Gödsel och kalk</c:v>
                </c:pt>
                <c:pt idx="1">
                  <c:v>IPM Växtskydd</c:v>
                </c:pt>
                <c:pt idx="2">
                  <c:v>Pollinering</c:v>
                </c:pt>
                <c:pt idx="3">
                  <c:v>Förpackningsmaterial</c:v>
                </c:pt>
                <c:pt idx="4">
                  <c:v>Frakt av produkter</c:v>
                </c:pt>
                <c:pt idx="5">
                  <c:v>Maskinhyra och entreprenad</c:v>
                </c:pt>
                <c:pt idx="6">
                  <c:v>Energikostnader</c:v>
                </c:pt>
                <c:pt idx="7">
                  <c:v>Anställd personal</c:v>
                </c:pt>
                <c:pt idx="8">
                  <c:v>Allmänna kostnader</c:v>
                </c:pt>
                <c:pt idx="9">
                  <c:v>Åkerns arrende</c:v>
                </c:pt>
                <c:pt idx="10">
                  <c:v>Byggnader</c:v>
                </c:pt>
                <c:pt idx="11">
                  <c:v>Maskiner och utrustning</c:v>
                </c:pt>
                <c:pt idx="12">
                  <c:v>Långvariga produktionsmedel</c:v>
                </c:pt>
                <c:pt idx="13">
                  <c:v>Täckdiken</c:v>
                </c:pt>
                <c:pt idx="14">
                  <c:v>Eget arbete</c:v>
                </c:pt>
              </c:strCache>
            </c:strRef>
          </c:cat>
          <c:val>
            <c:numRef>
              <c:f>'Hallon friland'!$Z$28:$Z$42</c:f>
              <c:numCache>
                <c:formatCode>#,##0</c:formatCode>
                <c:ptCount val="15"/>
                <c:pt idx="0" formatCode="0">
                  <c:v>170</c:v>
                </c:pt>
                <c:pt idx="1">
                  <c:v>450.8</c:v>
                </c:pt>
                <c:pt idx="2">
                  <c:v>640</c:v>
                </c:pt>
                <c:pt idx="3" formatCode="0">
                  <c:v>78.691666666666663</c:v>
                </c:pt>
                <c:pt idx="4" formatCode="0">
                  <c:v>2850</c:v>
                </c:pt>
                <c:pt idx="5" formatCode="0">
                  <c:v>0</c:v>
                </c:pt>
                <c:pt idx="6">
                  <c:v>712.78800000000001</c:v>
                </c:pt>
                <c:pt idx="7" formatCode="#,##0.00">
                  <c:v>31560</c:v>
                </c:pt>
                <c:pt idx="8" formatCode="#,##0.00">
                  <c:v>414.81481481481484</c:v>
                </c:pt>
                <c:pt idx="9" formatCode="#,##0.00">
                  <c:v>177.77777777777777</c:v>
                </c:pt>
                <c:pt idx="10">
                  <c:v>752.8888888888888</c:v>
                </c:pt>
                <c:pt idx="11">
                  <c:v>357.60123456790126</c:v>
                </c:pt>
                <c:pt idx="12">
                  <c:v>459.23280952380958</c:v>
                </c:pt>
                <c:pt idx="13">
                  <c:v>22.222222222222221</c:v>
                </c:pt>
                <c:pt idx="14">
                  <c:v>1943</c:v>
                </c:pt>
              </c:numCache>
            </c:numRef>
          </c:val>
          <c:extLst>
            <c:ext xmlns:c16="http://schemas.microsoft.com/office/drawing/2014/chart" uri="{C3380CC4-5D6E-409C-BE32-E72D297353CC}">
              <c16:uniqueId val="{00000000-7829-B84F-A7B9-EEE1FE5D57E9}"/>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sv-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sv-FI"/>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Fördelning av kostnader för tunnelhallon</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sv-FI"/>
        </a:p>
      </c:txPr>
    </c:title>
    <c:autoTitleDeleted val="0"/>
    <c:plotArea>
      <c:layout/>
      <c:pie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F551-DB44-A923-2E5D80D7E948}"/>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F551-DB44-A923-2E5D80D7E948}"/>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F551-DB44-A923-2E5D80D7E948}"/>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F551-DB44-A923-2E5D80D7E948}"/>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F551-DB44-A923-2E5D80D7E948}"/>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B-F551-DB44-A923-2E5D80D7E948}"/>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D-F551-DB44-A923-2E5D80D7E948}"/>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F-F551-DB44-A923-2E5D80D7E948}"/>
              </c:ext>
            </c:extLst>
          </c:dPt>
          <c:dPt>
            <c:idx val="8"/>
            <c:bubble3D val="0"/>
            <c:spPr>
              <a:solidFill>
                <a:schemeClr val="accent3">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1-F551-DB44-A923-2E5D80D7E948}"/>
              </c:ext>
            </c:extLst>
          </c:dPt>
          <c:dPt>
            <c:idx val="9"/>
            <c:bubble3D val="0"/>
            <c:spPr>
              <a:solidFill>
                <a:schemeClr val="accent4">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3-F551-DB44-A923-2E5D80D7E948}"/>
              </c:ext>
            </c:extLst>
          </c:dPt>
          <c:dPt>
            <c:idx val="10"/>
            <c:bubble3D val="0"/>
            <c:spPr>
              <a:solidFill>
                <a:schemeClr val="accent5">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5-F551-DB44-A923-2E5D80D7E948}"/>
              </c:ext>
            </c:extLst>
          </c:dPt>
          <c:dPt>
            <c:idx val="11"/>
            <c:bubble3D val="0"/>
            <c:spPr>
              <a:solidFill>
                <a:schemeClr val="accent6">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7-F551-DB44-A923-2E5D80D7E948}"/>
              </c:ext>
            </c:extLst>
          </c:dPt>
          <c:dPt>
            <c:idx val="12"/>
            <c:bubble3D val="0"/>
            <c:spPr>
              <a:solidFill>
                <a:schemeClr val="accent1">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9-F551-DB44-A923-2E5D80D7E948}"/>
              </c:ext>
            </c:extLst>
          </c:dPt>
          <c:dPt>
            <c:idx val="13"/>
            <c:bubble3D val="0"/>
            <c:spPr>
              <a:solidFill>
                <a:schemeClr val="accent2">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B-C336-A048-99AA-D71FCD0C503A}"/>
              </c:ext>
            </c:extLst>
          </c:dPt>
          <c:dPt>
            <c:idx val="14"/>
            <c:bubble3D val="0"/>
            <c:spPr>
              <a:solidFill>
                <a:schemeClr val="accent3">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D-C336-A048-99AA-D71FCD0C503A}"/>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sv-FI"/>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'Hallon friland'!$Y$28:$Y$42</c:f>
              <c:strCache>
                <c:ptCount val="15"/>
                <c:pt idx="0">
                  <c:v>Gödsel och kalk</c:v>
                </c:pt>
                <c:pt idx="1">
                  <c:v>IPM Växtskydd</c:v>
                </c:pt>
                <c:pt idx="2">
                  <c:v>Pollinering</c:v>
                </c:pt>
                <c:pt idx="3">
                  <c:v>Förpackningsmaterial</c:v>
                </c:pt>
                <c:pt idx="4">
                  <c:v>Frakt av produkter</c:v>
                </c:pt>
                <c:pt idx="5">
                  <c:v>Maskinhyra och entreprenad</c:v>
                </c:pt>
                <c:pt idx="6">
                  <c:v>Energikostnader</c:v>
                </c:pt>
                <c:pt idx="7">
                  <c:v>Anställd personal</c:v>
                </c:pt>
                <c:pt idx="8">
                  <c:v>Allmänna kostnader</c:v>
                </c:pt>
                <c:pt idx="9">
                  <c:v>Åkerns arrende</c:v>
                </c:pt>
                <c:pt idx="10">
                  <c:v>Byggnader</c:v>
                </c:pt>
                <c:pt idx="11">
                  <c:v>Maskiner och utrustning</c:v>
                </c:pt>
                <c:pt idx="12">
                  <c:v>Långvariga produktionsmedel</c:v>
                </c:pt>
                <c:pt idx="13">
                  <c:v>Täckdiken</c:v>
                </c:pt>
                <c:pt idx="14">
                  <c:v>Eget arbete</c:v>
                </c:pt>
              </c:strCache>
            </c:strRef>
          </c:cat>
          <c:val>
            <c:numRef>
              <c:f>'Hallon friland'!$Z$28:$Z$42</c:f>
              <c:numCache>
                <c:formatCode>#,##0</c:formatCode>
                <c:ptCount val="15"/>
                <c:pt idx="0" formatCode="0">
                  <c:v>170</c:v>
                </c:pt>
                <c:pt idx="1">
                  <c:v>450.8</c:v>
                </c:pt>
                <c:pt idx="2">
                  <c:v>640</c:v>
                </c:pt>
                <c:pt idx="3" formatCode="0">
                  <c:v>78.691666666666663</c:v>
                </c:pt>
                <c:pt idx="4" formatCode="0">
                  <c:v>2850</c:v>
                </c:pt>
                <c:pt idx="5" formatCode="0">
                  <c:v>0</c:v>
                </c:pt>
                <c:pt idx="6">
                  <c:v>712.78800000000001</c:v>
                </c:pt>
                <c:pt idx="7" formatCode="#,##0.00">
                  <c:v>31560</c:v>
                </c:pt>
                <c:pt idx="8" formatCode="#,##0.00">
                  <c:v>414.81481481481484</c:v>
                </c:pt>
                <c:pt idx="9" formatCode="#,##0.00">
                  <c:v>177.77777777777777</c:v>
                </c:pt>
                <c:pt idx="10">
                  <c:v>752.8888888888888</c:v>
                </c:pt>
                <c:pt idx="11">
                  <c:v>357.60123456790126</c:v>
                </c:pt>
                <c:pt idx="12">
                  <c:v>459.23280952380958</c:v>
                </c:pt>
                <c:pt idx="13">
                  <c:v>22.222222222222221</c:v>
                </c:pt>
                <c:pt idx="14">
                  <c:v>1943</c:v>
                </c:pt>
              </c:numCache>
            </c:numRef>
          </c:val>
          <c:extLst>
            <c:ext xmlns:c16="http://schemas.microsoft.com/office/drawing/2014/chart" uri="{C3380CC4-5D6E-409C-BE32-E72D297353CC}">
              <c16:uniqueId val="{0000001A-F551-DB44-A923-2E5D80D7E948}"/>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sv-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sv-FI"/>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Fördelning av skördeårens kostnader för  svarta vinbär</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sv-FI"/>
        </a:p>
      </c:txPr>
    </c:title>
    <c:autoTitleDeleted val="0"/>
    <c:plotArea>
      <c:layout/>
      <c:pie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8D4B-5B43-8BE9-67A1598EA49F}"/>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8D4B-5B43-8BE9-67A1598EA49F}"/>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8D4B-5B43-8BE9-67A1598EA49F}"/>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8D4B-5B43-8BE9-67A1598EA49F}"/>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8D4B-5B43-8BE9-67A1598EA49F}"/>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B-8D4B-5B43-8BE9-67A1598EA49F}"/>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D-8D4B-5B43-8BE9-67A1598EA49F}"/>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F-8D4B-5B43-8BE9-67A1598EA49F}"/>
              </c:ext>
            </c:extLst>
          </c:dPt>
          <c:dPt>
            <c:idx val="8"/>
            <c:bubble3D val="0"/>
            <c:spPr>
              <a:solidFill>
                <a:schemeClr val="accent3">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1-8D4B-5B43-8BE9-67A1598EA49F}"/>
              </c:ext>
            </c:extLst>
          </c:dPt>
          <c:dPt>
            <c:idx val="9"/>
            <c:bubble3D val="0"/>
            <c:spPr>
              <a:solidFill>
                <a:schemeClr val="accent4">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3-8D4B-5B43-8BE9-67A1598EA49F}"/>
              </c:ext>
            </c:extLst>
          </c:dPt>
          <c:dPt>
            <c:idx val="10"/>
            <c:bubble3D val="0"/>
            <c:spPr>
              <a:solidFill>
                <a:schemeClr val="accent5">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5-8D4B-5B43-8BE9-67A1598EA49F}"/>
              </c:ext>
            </c:extLst>
          </c:dPt>
          <c:dPt>
            <c:idx val="11"/>
            <c:bubble3D val="0"/>
            <c:spPr>
              <a:solidFill>
                <a:schemeClr val="accent6">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7-8D4B-5B43-8BE9-67A1598EA49F}"/>
              </c:ext>
            </c:extLst>
          </c:dPt>
          <c:dPt>
            <c:idx val="12"/>
            <c:bubble3D val="0"/>
            <c:spPr>
              <a:solidFill>
                <a:schemeClr val="accent1">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9-8D4B-5B43-8BE9-67A1598EA49F}"/>
              </c:ext>
            </c:extLst>
          </c:dPt>
          <c:dPt>
            <c:idx val="13"/>
            <c:bubble3D val="0"/>
            <c:spPr>
              <a:solidFill>
                <a:schemeClr val="accent2">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B-6030-1D46-9422-EB86CAF9D705}"/>
              </c:ext>
            </c:extLst>
          </c:dPt>
          <c:dPt>
            <c:idx val="14"/>
            <c:bubble3D val="0"/>
            <c:spPr>
              <a:solidFill>
                <a:schemeClr val="accent3">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D-6030-1D46-9422-EB86CAF9D705}"/>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sv-FI"/>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'Svarta vinbär'!$Y$27:$Y$41</c:f>
              <c:strCache>
                <c:ptCount val="15"/>
                <c:pt idx="0">
                  <c:v>Gödsel och kalk</c:v>
                </c:pt>
                <c:pt idx="1">
                  <c:v>IPM växtskydd</c:v>
                </c:pt>
                <c:pt idx="2">
                  <c:v>Pollinering</c:v>
                </c:pt>
                <c:pt idx="3">
                  <c:v>Förpackningsmaterial</c:v>
                </c:pt>
                <c:pt idx="4">
                  <c:v>Frakt av produkter</c:v>
                </c:pt>
                <c:pt idx="5">
                  <c:v>Maskinhyra och entreprenad</c:v>
                </c:pt>
                <c:pt idx="6">
                  <c:v>Energiakustannukset</c:v>
                </c:pt>
                <c:pt idx="7">
                  <c:v>Anställd personal</c:v>
                </c:pt>
                <c:pt idx="8">
                  <c:v>Allmänna kostnader</c:v>
                </c:pt>
                <c:pt idx="9">
                  <c:v>Åkerns arrende</c:v>
                </c:pt>
                <c:pt idx="10">
                  <c:v>Byggnader</c:v>
                </c:pt>
                <c:pt idx="11">
                  <c:v>Maskiner och utrustning</c:v>
                </c:pt>
                <c:pt idx="12">
                  <c:v>Långvariga produktionsmedel</c:v>
                </c:pt>
                <c:pt idx="13">
                  <c:v>Täckdiken</c:v>
                </c:pt>
                <c:pt idx="14">
                  <c:v>Eget arbete</c:v>
                </c:pt>
              </c:strCache>
            </c:strRef>
          </c:cat>
          <c:val>
            <c:numRef>
              <c:f>'Svarta vinbär'!$Z$27:$Z$41</c:f>
              <c:numCache>
                <c:formatCode>0</c:formatCode>
                <c:ptCount val="15"/>
                <c:pt idx="0">
                  <c:v>351.90000000000003</c:v>
                </c:pt>
                <c:pt idx="1">
                  <c:v>800</c:v>
                </c:pt>
                <c:pt idx="2">
                  <c:v>0</c:v>
                </c:pt>
                <c:pt idx="3">
                  <c:v>0</c:v>
                </c:pt>
                <c:pt idx="4">
                  <c:v>14500</c:v>
                </c:pt>
                <c:pt idx="5">
                  <c:v>2250</c:v>
                </c:pt>
                <c:pt idx="6">
                  <c:v>673.24800000000005</c:v>
                </c:pt>
                <c:pt idx="7">
                  <c:v>290</c:v>
                </c:pt>
                <c:pt idx="8">
                  <c:v>414.81481481481489</c:v>
                </c:pt>
                <c:pt idx="9" formatCode="#,##0.00">
                  <c:v>0</c:v>
                </c:pt>
                <c:pt idx="10" formatCode="#,##0">
                  <c:v>752.8888888888888</c:v>
                </c:pt>
                <c:pt idx="11" formatCode="#,##0">
                  <c:v>357.6012345679012</c:v>
                </c:pt>
                <c:pt idx="12" formatCode="#,##0">
                  <c:v>90.454047619047614</c:v>
                </c:pt>
                <c:pt idx="13" formatCode="#,##0">
                  <c:v>22.222222222222221</c:v>
                </c:pt>
                <c:pt idx="14" formatCode="#,##0">
                  <c:v>1058.5</c:v>
                </c:pt>
              </c:numCache>
            </c:numRef>
          </c:val>
          <c:extLst>
            <c:ext xmlns:c16="http://schemas.microsoft.com/office/drawing/2014/chart" uri="{C3380CC4-5D6E-409C-BE32-E72D297353CC}">
              <c16:uniqueId val="{00000000-24F2-4944-9B54-8925596FC299}"/>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sv-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sv-FI"/>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Skördeårens kostnadsfördelning för buskblåbär</a:t>
            </a:r>
          </a:p>
        </c:rich>
      </c:tx>
      <c:layout>
        <c:manualLayout>
          <c:xMode val="edge"/>
          <c:yMode val="edge"/>
          <c:x val="0.25790944881889766"/>
          <c:y val="2.3487365138369708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sv-FI"/>
        </a:p>
      </c:txPr>
    </c:title>
    <c:autoTitleDeleted val="0"/>
    <c:plotArea>
      <c:layout/>
      <c:pie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B35E-2845-B7C7-532DC24DD8F1}"/>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B35E-2845-B7C7-532DC24DD8F1}"/>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B35E-2845-B7C7-532DC24DD8F1}"/>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B35E-2845-B7C7-532DC24DD8F1}"/>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B35E-2845-B7C7-532DC24DD8F1}"/>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B-B35E-2845-B7C7-532DC24DD8F1}"/>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D-B35E-2845-B7C7-532DC24DD8F1}"/>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F-B35E-2845-B7C7-532DC24DD8F1}"/>
              </c:ext>
            </c:extLst>
          </c:dPt>
          <c:dPt>
            <c:idx val="8"/>
            <c:bubble3D val="0"/>
            <c:spPr>
              <a:solidFill>
                <a:schemeClr val="accent3">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1-B35E-2845-B7C7-532DC24DD8F1}"/>
              </c:ext>
            </c:extLst>
          </c:dPt>
          <c:dPt>
            <c:idx val="9"/>
            <c:bubble3D val="0"/>
            <c:spPr>
              <a:solidFill>
                <a:schemeClr val="accent4">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3-B35E-2845-B7C7-532DC24DD8F1}"/>
              </c:ext>
            </c:extLst>
          </c:dPt>
          <c:dPt>
            <c:idx val="10"/>
            <c:bubble3D val="0"/>
            <c:spPr>
              <a:solidFill>
                <a:schemeClr val="accent5">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5-B35E-2845-B7C7-532DC24DD8F1}"/>
              </c:ext>
            </c:extLst>
          </c:dPt>
          <c:dPt>
            <c:idx val="11"/>
            <c:bubble3D val="0"/>
            <c:spPr>
              <a:solidFill>
                <a:schemeClr val="accent6">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7-B35E-2845-B7C7-532DC24DD8F1}"/>
              </c:ext>
            </c:extLst>
          </c:dPt>
          <c:dPt>
            <c:idx val="12"/>
            <c:bubble3D val="0"/>
            <c:spPr>
              <a:solidFill>
                <a:schemeClr val="accent1">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9-B35E-2845-B7C7-532DC24DD8F1}"/>
              </c:ext>
            </c:extLst>
          </c:dPt>
          <c:dPt>
            <c:idx val="13"/>
            <c:bubble3D val="0"/>
            <c:spPr>
              <a:solidFill>
                <a:schemeClr val="accent2">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B-D081-0341-9D6E-257FD207A47D}"/>
              </c:ext>
            </c:extLst>
          </c:dPt>
          <c:dPt>
            <c:idx val="14"/>
            <c:bubble3D val="0"/>
            <c:spPr>
              <a:solidFill>
                <a:schemeClr val="accent3">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D-D081-0341-9D6E-257FD207A47D}"/>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sv-FI"/>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Buskblåbär!$Y$30:$Y$44</c:f>
              <c:strCache>
                <c:ptCount val="15"/>
                <c:pt idx="0">
                  <c:v>Gödsel och kalk</c:v>
                </c:pt>
                <c:pt idx="1">
                  <c:v>IPM växtskydd</c:v>
                </c:pt>
                <c:pt idx="2">
                  <c:v>Pollinering</c:v>
                </c:pt>
                <c:pt idx="3">
                  <c:v>Förpackningsmaterial</c:v>
                </c:pt>
                <c:pt idx="4">
                  <c:v>Frakt av produkter</c:v>
                </c:pt>
                <c:pt idx="5">
                  <c:v>Maskinhyra och entreprenad</c:v>
                </c:pt>
                <c:pt idx="6">
                  <c:v>Energikostnader</c:v>
                </c:pt>
                <c:pt idx="7">
                  <c:v>Anställd personal</c:v>
                </c:pt>
                <c:pt idx="8">
                  <c:v>Allmänna kostnader</c:v>
                </c:pt>
                <c:pt idx="9">
                  <c:v>Åkerns arrende</c:v>
                </c:pt>
                <c:pt idx="10">
                  <c:v>Byggnader</c:v>
                </c:pt>
                <c:pt idx="11">
                  <c:v>Maskiner och utrustning</c:v>
                </c:pt>
                <c:pt idx="12">
                  <c:v>långvariga produktionsmedel</c:v>
                </c:pt>
                <c:pt idx="13">
                  <c:v>Täckdiken</c:v>
                </c:pt>
                <c:pt idx="14">
                  <c:v>Eget arbete</c:v>
                </c:pt>
              </c:strCache>
            </c:strRef>
          </c:cat>
          <c:val>
            <c:numRef>
              <c:f>Buskblåbär!$Z$30:$Z$44</c:f>
              <c:numCache>
                <c:formatCode>0</c:formatCode>
                <c:ptCount val="15"/>
                <c:pt idx="0">
                  <c:v>351.90000000000003</c:v>
                </c:pt>
                <c:pt idx="1">
                  <c:v>0</c:v>
                </c:pt>
                <c:pt idx="2">
                  <c:v>800</c:v>
                </c:pt>
                <c:pt idx="3">
                  <c:v>150</c:v>
                </c:pt>
                <c:pt idx="4">
                  <c:v>2250</c:v>
                </c:pt>
                <c:pt idx="5">
                  <c:v>0</c:v>
                </c:pt>
                <c:pt idx="6">
                  <c:v>900.96799999999996</c:v>
                </c:pt>
                <c:pt idx="7">
                  <c:v>16925</c:v>
                </c:pt>
                <c:pt idx="8" formatCode="#,##0.00">
                  <c:v>414.81481481481484</c:v>
                </c:pt>
                <c:pt idx="9" formatCode="#,##0.00">
                  <c:v>44.444444444444443</c:v>
                </c:pt>
                <c:pt idx="10" formatCode="#,##0">
                  <c:v>752.8888888888888</c:v>
                </c:pt>
                <c:pt idx="11" formatCode="#,##0">
                  <c:v>357.60123456790126</c:v>
                </c:pt>
                <c:pt idx="12" formatCode="#,##0">
                  <c:v>295.73280952380952</c:v>
                </c:pt>
                <c:pt idx="13" formatCode="#,##0">
                  <c:v>22.222222222222221</c:v>
                </c:pt>
                <c:pt idx="14" formatCode="#,##0">
                  <c:v>1725.5</c:v>
                </c:pt>
              </c:numCache>
            </c:numRef>
          </c:val>
          <c:extLst>
            <c:ext xmlns:c16="http://schemas.microsoft.com/office/drawing/2014/chart" uri="{C3380CC4-5D6E-409C-BE32-E72D297353CC}">
              <c16:uniqueId val="{00000000-BCB0-2946-BFD9-10367664EEA7}"/>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sv-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sv-FI"/>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fi-FI"/>
              <a:t>Fördelning av krav på egna</a:t>
            </a:r>
            <a:r>
              <a:rPr lang="fi-FI" baseline="0"/>
              <a:t> lönekostnader</a:t>
            </a:r>
            <a:endParaRPr lang="fi-FI"/>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sv-FI"/>
        </a:p>
      </c:txPr>
    </c:title>
    <c:autoTitleDeleted val="0"/>
    <c:plotArea>
      <c:layout/>
      <c:pie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D7FE-D347-B3C5-DBB41C84E01D}"/>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D7FE-D347-B3C5-DBB41C84E01D}"/>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D7FE-D347-B3C5-DBB41C84E01D}"/>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D7FE-D347-B3C5-DBB41C84E01D}"/>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D7FE-D347-B3C5-DBB41C84E01D}"/>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B-D7FE-D347-B3C5-DBB41C84E01D}"/>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D-D7FE-D347-B3C5-DBB41C84E01D}"/>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F-D7FE-D347-B3C5-DBB41C84E01D}"/>
              </c:ext>
            </c:extLst>
          </c:dPt>
          <c:dPt>
            <c:idx val="8"/>
            <c:bubble3D val="0"/>
            <c:spPr>
              <a:solidFill>
                <a:schemeClr val="accent3">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1-D7FE-D347-B3C5-DBB41C84E01D}"/>
              </c:ext>
            </c:extLst>
          </c:dPt>
          <c:dPt>
            <c:idx val="9"/>
            <c:bubble3D val="0"/>
            <c:spPr>
              <a:solidFill>
                <a:schemeClr val="accent4">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3-D7FE-D347-B3C5-DBB41C84E01D}"/>
              </c:ext>
            </c:extLst>
          </c:dPt>
          <c:dPt>
            <c:idx val="10"/>
            <c:bubble3D val="0"/>
            <c:spPr>
              <a:solidFill>
                <a:schemeClr val="accent5">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5-1C17-1F48-9AAA-5EC194E3CFC7}"/>
              </c:ext>
            </c:extLst>
          </c:dPt>
          <c:dPt>
            <c:idx val="11"/>
            <c:bubble3D val="0"/>
            <c:spPr>
              <a:solidFill>
                <a:schemeClr val="accent6">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7-1C17-1F48-9AAA-5EC194E3CFC7}"/>
              </c:ext>
            </c:extLst>
          </c:dPt>
          <c:dPt>
            <c:idx val="12"/>
            <c:bubble3D val="0"/>
            <c:spPr>
              <a:solidFill>
                <a:schemeClr val="accent1">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9-1C17-1F48-9AAA-5EC194E3CFC7}"/>
              </c:ext>
            </c:extLst>
          </c:dPt>
          <c:dPt>
            <c:idx val="13"/>
            <c:bubble3D val="0"/>
            <c:spPr>
              <a:solidFill>
                <a:schemeClr val="accent2">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B-AA25-8F41-8CD3-0626773F32C1}"/>
              </c:ext>
            </c:extLst>
          </c:dPt>
          <c:dPt>
            <c:idx val="14"/>
            <c:bubble3D val="0"/>
            <c:spPr>
              <a:solidFill>
                <a:schemeClr val="accent3">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D-AA25-8F41-8CD3-0626773F32C1}"/>
              </c:ext>
            </c:extLst>
          </c:dPt>
          <c:dPt>
            <c:idx val="15"/>
            <c:bubble3D val="0"/>
            <c:spPr>
              <a:solidFill>
                <a:schemeClr val="accent4">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F-46E9-9E48-9592-C41C10FADCB3}"/>
              </c:ext>
            </c:extLst>
          </c:dPt>
          <c:dPt>
            <c:idx val="16"/>
            <c:bubble3D val="0"/>
            <c:spPr>
              <a:solidFill>
                <a:schemeClr val="accent5">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1-46E9-9E48-9592-C41C10FADCB3}"/>
              </c:ext>
            </c:extLst>
          </c:dPt>
          <c:dPt>
            <c:idx val="17"/>
            <c:bubble3D val="0"/>
            <c:spPr>
              <a:solidFill>
                <a:schemeClr val="accent6">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3-9C30-BB48-813A-B4AAAEEE4CAC}"/>
              </c:ext>
            </c:extLst>
          </c:dPt>
          <c:dPt>
            <c:idx val="18"/>
            <c:bubble3D val="0"/>
            <c:spPr>
              <a:solidFill>
                <a:schemeClr val="accent1">
                  <a:lumMod val="8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5-9C30-BB48-813A-B4AAAEEE4CAC}"/>
              </c:ext>
            </c:extLst>
          </c:dPt>
          <c:dPt>
            <c:idx val="19"/>
            <c:bubble3D val="0"/>
            <c:spPr>
              <a:solidFill>
                <a:schemeClr val="accent2">
                  <a:lumMod val="8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7-9C30-BB48-813A-B4AAAEEE4CAC}"/>
              </c:ext>
            </c:extLst>
          </c:dPt>
          <c:dPt>
            <c:idx val="20"/>
            <c:bubble3D val="0"/>
            <c:spPr>
              <a:solidFill>
                <a:schemeClr val="accent3">
                  <a:lumMod val="8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9-9C30-BB48-813A-B4AAAEEE4CAC}"/>
              </c:ext>
            </c:extLst>
          </c:dPt>
          <c:dPt>
            <c:idx val="21"/>
            <c:bubble3D val="0"/>
            <c:spPr>
              <a:solidFill>
                <a:schemeClr val="accent4">
                  <a:lumMod val="8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B-9C30-BB48-813A-B4AAAEEE4CAC}"/>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sv-FI"/>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'Hela gårdens lönsamhet'!$C$87:$C$108</c:f>
              <c:strCache>
                <c:ptCount val="22"/>
                <c:pt idx="0">
                  <c:v>Morot</c:v>
                </c:pt>
                <c:pt idx="1">
                  <c:v>Kål</c:v>
                </c:pt>
                <c:pt idx="2">
                  <c:v>Lök</c:v>
                </c:pt>
                <c:pt idx="3">
                  <c:v>Trädgårdsärt</c:v>
                </c:pt>
                <c:pt idx="4">
                  <c:v>Grönsak från frö 1</c:v>
                </c:pt>
                <c:pt idx="5">
                  <c:v>Grönsak från frö 2</c:v>
                </c:pt>
                <c:pt idx="6">
                  <c:v>Planterad grönsak 1</c:v>
                </c:pt>
                <c:pt idx="7">
                  <c:v>Planterad grönsak 2</c:v>
                </c:pt>
                <c:pt idx="8">
                  <c:v>Planterad grönsak 3</c:v>
                </c:pt>
                <c:pt idx="9">
                  <c:v>Jordgubbe friland</c:v>
                </c:pt>
                <c:pt idx="10">
                  <c:v>Jordgubbe tunnel</c:v>
                </c:pt>
                <c:pt idx="11">
                  <c:v>Hallon friland</c:v>
                </c:pt>
                <c:pt idx="12">
                  <c:v>Hallon tunnel</c:v>
                </c:pt>
                <c:pt idx="13">
                  <c:v>Svarta vinbär</c:v>
                </c:pt>
                <c:pt idx="14">
                  <c:v>Buskblåbär</c:v>
                </c:pt>
                <c:pt idx="15">
                  <c:v>Äpple</c:v>
                </c:pt>
                <c:pt idx="16">
                  <c:v>Havre</c:v>
                </c:pt>
                <c:pt idx="17">
                  <c:v>Korn</c:v>
                </c:pt>
                <c:pt idx="18">
                  <c:v>Vete</c:v>
                </c:pt>
                <c:pt idx="19">
                  <c:v>Höstråg</c:v>
                </c:pt>
                <c:pt idx="20">
                  <c:v>Naturvårdsåker</c:v>
                </c:pt>
                <c:pt idx="21">
                  <c:v>Vall</c:v>
                </c:pt>
              </c:strCache>
            </c:strRef>
          </c:cat>
          <c:val>
            <c:numRef>
              <c:f>'Hela gårdens lönsamhet'!$J$87:$J$108</c:f>
              <c:numCache>
                <c:formatCode>#,##0</c:formatCode>
                <c:ptCount val="22"/>
                <c:pt idx="0">
                  <c:v>2160.5</c:v>
                </c:pt>
                <c:pt idx="1">
                  <c:v>2088</c:v>
                </c:pt>
                <c:pt idx="2">
                  <c:v>1406.5</c:v>
                </c:pt>
                <c:pt idx="3">
                  <c:v>1261.5</c:v>
                </c:pt>
                <c:pt idx="4">
                  <c:v>0</c:v>
                </c:pt>
                <c:pt idx="5">
                  <c:v>0</c:v>
                </c:pt>
                <c:pt idx="6">
                  <c:v>0</c:v>
                </c:pt>
                <c:pt idx="7">
                  <c:v>0</c:v>
                </c:pt>
                <c:pt idx="8">
                  <c:v>0</c:v>
                </c:pt>
                <c:pt idx="9">
                  <c:v>16807.916666666664</c:v>
                </c:pt>
                <c:pt idx="10">
                  <c:v>3770</c:v>
                </c:pt>
                <c:pt idx="11">
                  <c:v>8710.875</c:v>
                </c:pt>
                <c:pt idx="12">
                  <c:v>2552</c:v>
                </c:pt>
                <c:pt idx="13">
                  <c:v>0</c:v>
                </c:pt>
                <c:pt idx="14">
                  <c:v>2098.875</c:v>
                </c:pt>
                <c:pt idx="15">
                  <c:v>8289.65</c:v>
                </c:pt>
                <c:pt idx="16">
                  <c:v>391.5</c:v>
                </c:pt>
                <c:pt idx="17">
                  <c:v>0</c:v>
                </c:pt>
                <c:pt idx="18">
                  <c:v>0</c:v>
                </c:pt>
                <c:pt idx="19">
                  <c:v>0</c:v>
                </c:pt>
                <c:pt idx="20">
                  <c:v>0</c:v>
                </c:pt>
                <c:pt idx="21">
                  <c:v>0</c:v>
                </c:pt>
              </c:numCache>
            </c:numRef>
          </c:val>
          <c:extLst>
            <c:ext xmlns:c16="http://schemas.microsoft.com/office/drawing/2014/chart" uri="{C3380CC4-5D6E-409C-BE32-E72D297353CC}">
              <c16:uniqueId val="{00000000-1960-6443-BC9A-4F5CE72B2A51}"/>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sv-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sv-FI"/>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Fördelning</a:t>
            </a:r>
            <a:r>
              <a:rPr lang="en-US" baseline="0"/>
              <a:t> av kostnader under skördeåret för äpple</a:t>
            </a:r>
            <a:endParaRPr lang="en-US"/>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sv-FI"/>
        </a:p>
      </c:txPr>
    </c:title>
    <c:autoTitleDeleted val="0"/>
    <c:plotArea>
      <c:layout/>
      <c:pie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6E6E-3640-8970-E000AF32F7D6}"/>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6E6E-3640-8970-E000AF32F7D6}"/>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6E6E-3640-8970-E000AF32F7D6}"/>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6E6E-3640-8970-E000AF32F7D6}"/>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6E6E-3640-8970-E000AF32F7D6}"/>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B-6E6E-3640-8970-E000AF32F7D6}"/>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D-6E6E-3640-8970-E000AF32F7D6}"/>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F-6E6E-3640-8970-E000AF32F7D6}"/>
              </c:ext>
            </c:extLst>
          </c:dPt>
          <c:dPt>
            <c:idx val="8"/>
            <c:bubble3D val="0"/>
            <c:spPr>
              <a:solidFill>
                <a:schemeClr val="accent3">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1-6E6E-3640-8970-E000AF32F7D6}"/>
              </c:ext>
            </c:extLst>
          </c:dPt>
          <c:dPt>
            <c:idx val="9"/>
            <c:bubble3D val="0"/>
            <c:spPr>
              <a:solidFill>
                <a:schemeClr val="accent4">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3-6E6E-3640-8970-E000AF32F7D6}"/>
              </c:ext>
            </c:extLst>
          </c:dPt>
          <c:dPt>
            <c:idx val="10"/>
            <c:bubble3D val="0"/>
            <c:spPr>
              <a:solidFill>
                <a:schemeClr val="accent5">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5-6E6E-3640-8970-E000AF32F7D6}"/>
              </c:ext>
            </c:extLst>
          </c:dPt>
          <c:dPt>
            <c:idx val="11"/>
            <c:bubble3D val="0"/>
            <c:spPr>
              <a:solidFill>
                <a:schemeClr val="accent6">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7-6E6E-3640-8970-E000AF32F7D6}"/>
              </c:ext>
            </c:extLst>
          </c:dPt>
          <c:dPt>
            <c:idx val="12"/>
            <c:bubble3D val="0"/>
            <c:spPr>
              <a:solidFill>
                <a:schemeClr val="accent1">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9-6E6E-3640-8970-E000AF32F7D6}"/>
              </c:ext>
            </c:extLst>
          </c:dPt>
          <c:dPt>
            <c:idx val="13"/>
            <c:bubble3D val="0"/>
            <c:spPr>
              <a:solidFill>
                <a:schemeClr val="accent2">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B-6E6E-3640-8970-E000AF32F7D6}"/>
              </c:ext>
            </c:extLst>
          </c:dPt>
          <c:dPt>
            <c:idx val="14"/>
            <c:bubble3D val="0"/>
            <c:spPr>
              <a:solidFill>
                <a:schemeClr val="accent3">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D-6E6E-3640-8970-E000AF32F7D6}"/>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sv-FI"/>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Äpple!$Y$30:$Y$44</c:f>
              <c:strCache>
                <c:ptCount val="15"/>
                <c:pt idx="0">
                  <c:v>Gödsel</c:v>
                </c:pt>
                <c:pt idx="1">
                  <c:v>IPM Växtskydd</c:v>
                </c:pt>
                <c:pt idx="2">
                  <c:v>Pollinering</c:v>
                </c:pt>
                <c:pt idx="3">
                  <c:v>Förpackningsmaterial</c:v>
                </c:pt>
                <c:pt idx="4">
                  <c:v>Frakt av produkter</c:v>
                </c:pt>
                <c:pt idx="5">
                  <c:v>Maskinhyra och entreprenad</c:v>
                </c:pt>
                <c:pt idx="6">
                  <c:v>Energikostnader</c:v>
                </c:pt>
                <c:pt idx="7">
                  <c:v>Anställd arbetskraft</c:v>
                </c:pt>
                <c:pt idx="8">
                  <c:v>Allmänna kostander</c:v>
                </c:pt>
                <c:pt idx="9">
                  <c:v>Arrende för åker</c:v>
                </c:pt>
                <c:pt idx="10">
                  <c:v>Byggnader</c:v>
                </c:pt>
                <c:pt idx="11">
                  <c:v>Maskiner och utrustning</c:v>
                </c:pt>
                <c:pt idx="12">
                  <c:v>Långvariga produktionsmedel</c:v>
                </c:pt>
                <c:pt idx="13">
                  <c:v>Täckdiken</c:v>
                </c:pt>
                <c:pt idx="14">
                  <c:v>Lönekrav för eget arbete</c:v>
                </c:pt>
              </c:strCache>
            </c:strRef>
          </c:cat>
          <c:val>
            <c:numRef>
              <c:f>Äpple!$Z$30:$Z$44</c:f>
              <c:numCache>
                <c:formatCode>0</c:formatCode>
                <c:ptCount val="15"/>
                <c:pt idx="0">
                  <c:v>260.10000000000002</c:v>
                </c:pt>
                <c:pt idx="1">
                  <c:v>349.3</c:v>
                </c:pt>
                <c:pt idx="2">
                  <c:v>800</c:v>
                </c:pt>
                <c:pt idx="3">
                  <c:v>546.66666666666663</c:v>
                </c:pt>
                <c:pt idx="4">
                  <c:v>2050</c:v>
                </c:pt>
                <c:pt idx="5">
                  <c:v>0</c:v>
                </c:pt>
                <c:pt idx="6">
                  <c:v>1118.7279999999998</c:v>
                </c:pt>
                <c:pt idx="7">
                  <c:v>21225</c:v>
                </c:pt>
                <c:pt idx="8" formatCode="#,##0.00">
                  <c:v>414.81481481481484</c:v>
                </c:pt>
                <c:pt idx="9" formatCode="#,##0.00">
                  <c:v>133.33333333333331</c:v>
                </c:pt>
                <c:pt idx="10" formatCode="#,##0">
                  <c:v>752.8888888888888</c:v>
                </c:pt>
                <c:pt idx="11" formatCode="#,##0">
                  <c:v>357.60123456790126</c:v>
                </c:pt>
                <c:pt idx="12" formatCode="#,##0">
                  <c:v>28.168333333333333</c:v>
                </c:pt>
                <c:pt idx="13" formatCode="#,##0">
                  <c:v>22.222222222222218</c:v>
                </c:pt>
                <c:pt idx="14" formatCode="#,##0">
                  <c:v>2349</c:v>
                </c:pt>
              </c:numCache>
            </c:numRef>
          </c:val>
          <c:extLst>
            <c:ext xmlns:c16="http://schemas.microsoft.com/office/drawing/2014/chart" uri="{C3380CC4-5D6E-409C-BE32-E72D297353CC}">
              <c16:uniqueId val="{00000000-C3B5-C04D-BCE5-F6E2F43343AD}"/>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sv-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sv-FI"/>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fi-FI"/>
              <a:t>Kauran</a:t>
            </a:r>
            <a:r>
              <a:rPr lang="fi-FI" baseline="0"/>
              <a:t> kustannusrakenne</a:t>
            </a:r>
            <a:endParaRPr lang="fi-FI"/>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sv-FI"/>
        </a:p>
      </c:txPr>
    </c:title>
    <c:autoTitleDeleted val="0"/>
    <c:plotArea>
      <c:layout/>
      <c:pie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F51D-C44F-8068-C18154BC7191}"/>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F51D-C44F-8068-C18154BC7191}"/>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F51D-C44F-8068-C18154BC7191}"/>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F51D-C44F-8068-C18154BC7191}"/>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F51D-C44F-8068-C18154BC7191}"/>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B-F51D-C44F-8068-C18154BC7191}"/>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D-F51D-C44F-8068-C18154BC7191}"/>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F-F51D-C44F-8068-C18154BC7191}"/>
              </c:ext>
            </c:extLst>
          </c:dPt>
          <c:dPt>
            <c:idx val="8"/>
            <c:bubble3D val="0"/>
            <c:spPr>
              <a:solidFill>
                <a:schemeClr val="accent3">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1-F51D-C44F-8068-C18154BC7191}"/>
              </c:ext>
            </c:extLst>
          </c:dPt>
          <c:dPt>
            <c:idx val="9"/>
            <c:bubble3D val="0"/>
            <c:spPr>
              <a:solidFill>
                <a:schemeClr val="accent4">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3-F51D-C44F-8068-C18154BC7191}"/>
              </c:ext>
            </c:extLst>
          </c:dPt>
          <c:dPt>
            <c:idx val="10"/>
            <c:bubble3D val="0"/>
            <c:spPr>
              <a:solidFill>
                <a:schemeClr val="accent5">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5-F51D-C44F-8068-C18154BC7191}"/>
              </c:ext>
            </c:extLst>
          </c:dPt>
          <c:dPt>
            <c:idx val="11"/>
            <c:bubble3D val="0"/>
            <c:spPr>
              <a:solidFill>
                <a:schemeClr val="accent6">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7-F51D-C44F-8068-C18154BC7191}"/>
              </c:ext>
            </c:extLst>
          </c:dPt>
          <c:dPt>
            <c:idx val="12"/>
            <c:bubble3D val="0"/>
            <c:spPr>
              <a:solidFill>
                <a:schemeClr val="accent1">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9-F51D-C44F-8068-C18154BC7191}"/>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sv-FI"/>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Havre!$AB$23:$AB$35</c:f>
              <c:strCache>
                <c:ptCount val="13"/>
                <c:pt idx="0">
                  <c:v>Frö</c:v>
                </c:pt>
                <c:pt idx="1">
                  <c:v>Gödsel och kalk</c:v>
                </c:pt>
                <c:pt idx="2">
                  <c:v>IPM Växtskydd</c:v>
                </c:pt>
                <c:pt idx="3">
                  <c:v>Maskinhyra och entreprenad</c:v>
                </c:pt>
                <c:pt idx="4">
                  <c:v>Energikostnader</c:v>
                </c:pt>
                <c:pt idx="5">
                  <c:v>Anställd arbetskraft </c:v>
                </c:pt>
                <c:pt idx="6">
                  <c:v>Allmänna kostnader</c:v>
                </c:pt>
                <c:pt idx="7">
                  <c:v>Åkerns arrende</c:v>
                </c:pt>
                <c:pt idx="8">
                  <c:v>Byggnader</c:v>
                </c:pt>
                <c:pt idx="9">
                  <c:v>Maskiner och utrustning</c:v>
                </c:pt>
                <c:pt idx="10">
                  <c:v>Långvariga produktionsmedel</c:v>
                </c:pt>
                <c:pt idx="11">
                  <c:v>Täckdiken</c:v>
                </c:pt>
                <c:pt idx="12">
                  <c:v>Eget arbete</c:v>
                </c:pt>
              </c:strCache>
            </c:strRef>
          </c:cat>
          <c:val>
            <c:numRef>
              <c:f>Havre!$AC$23:$AC$35</c:f>
              <c:numCache>
                <c:formatCode>0</c:formatCode>
                <c:ptCount val="13"/>
                <c:pt idx="0">
                  <c:v>108</c:v>
                </c:pt>
                <c:pt idx="1">
                  <c:v>151.69999999999999</c:v>
                </c:pt>
                <c:pt idx="2">
                  <c:v>41.082999999999998</c:v>
                </c:pt>
                <c:pt idx="3">
                  <c:v>395</c:v>
                </c:pt>
                <c:pt idx="4">
                  <c:v>77.400000000000006</c:v>
                </c:pt>
                <c:pt idx="5">
                  <c:v>0</c:v>
                </c:pt>
                <c:pt idx="6" formatCode="0.00">
                  <c:v>414.81481481481484</c:v>
                </c:pt>
                <c:pt idx="7" formatCode="0.00">
                  <c:v>133.33333333333331</c:v>
                </c:pt>
                <c:pt idx="8" formatCode="#,##0.00">
                  <c:v>213.88888888888886</c:v>
                </c:pt>
                <c:pt idx="9" formatCode="#,##0.00">
                  <c:v>357.60123456790126</c:v>
                </c:pt>
                <c:pt idx="10" formatCode="#,##0.00">
                  <c:v>0</c:v>
                </c:pt>
                <c:pt idx="11" formatCode="#,##0.00">
                  <c:v>22.222222222222218</c:v>
                </c:pt>
                <c:pt idx="12" formatCode="0.00">
                  <c:v>130.5</c:v>
                </c:pt>
              </c:numCache>
            </c:numRef>
          </c:val>
          <c:extLst>
            <c:ext xmlns:c16="http://schemas.microsoft.com/office/drawing/2014/chart" uri="{C3380CC4-5D6E-409C-BE32-E72D297353CC}">
              <c16:uniqueId val="{00000000-0975-6B42-9CD0-43DEBA69F93C}"/>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sv-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sv-FI"/>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fi-FI"/>
              <a:t>Ohran kustannusrakenne</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sv-FI"/>
        </a:p>
      </c:txPr>
    </c:title>
    <c:autoTitleDeleted val="0"/>
    <c:plotArea>
      <c:layout/>
      <c:pie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2EF3-4246-A3C8-9A5FCDE0396F}"/>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2EF3-4246-A3C8-9A5FCDE0396F}"/>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2EF3-4246-A3C8-9A5FCDE0396F}"/>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2EF3-4246-A3C8-9A5FCDE0396F}"/>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2EF3-4246-A3C8-9A5FCDE0396F}"/>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B-2EF3-4246-A3C8-9A5FCDE0396F}"/>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D-2EF3-4246-A3C8-9A5FCDE0396F}"/>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F-2EF3-4246-A3C8-9A5FCDE0396F}"/>
              </c:ext>
            </c:extLst>
          </c:dPt>
          <c:dPt>
            <c:idx val="8"/>
            <c:bubble3D val="0"/>
            <c:spPr>
              <a:solidFill>
                <a:schemeClr val="accent3">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1-2EF3-4246-A3C8-9A5FCDE0396F}"/>
              </c:ext>
            </c:extLst>
          </c:dPt>
          <c:dPt>
            <c:idx val="9"/>
            <c:bubble3D val="0"/>
            <c:spPr>
              <a:solidFill>
                <a:schemeClr val="accent4">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3-2EF3-4246-A3C8-9A5FCDE0396F}"/>
              </c:ext>
            </c:extLst>
          </c:dPt>
          <c:dPt>
            <c:idx val="10"/>
            <c:bubble3D val="0"/>
            <c:spPr>
              <a:solidFill>
                <a:schemeClr val="accent5">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5-2EF3-4246-A3C8-9A5FCDE0396F}"/>
              </c:ext>
            </c:extLst>
          </c:dPt>
          <c:dPt>
            <c:idx val="11"/>
            <c:bubble3D val="0"/>
            <c:spPr>
              <a:solidFill>
                <a:schemeClr val="accent6">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7-2EF3-4246-A3C8-9A5FCDE0396F}"/>
              </c:ext>
            </c:extLst>
          </c:dPt>
          <c:dPt>
            <c:idx val="12"/>
            <c:bubble3D val="0"/>
            <c:spPr>
              <a:solidFill>
                <a:schemeClr val="accent1">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9-2EF3-4246-A3C8-9A5FCDE0396F}"/>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sv-FI"/>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Korn!$AB$23:$AB$35</c:f>
              <c:strCache>
                <c:ptCount val="13"/>
                <c:pt idx="0">
                  <c:v>Frö</c:v>
                </c:pt>
                <c:pt idx="1">
                  <c:v>Gödsel och kalk</c:v>
                </c:pt>
                <c:pt idx="2">
                  <c:v>IPM Växtskydd</c:v>
                </c:pt>
                <c:pt idx="3">
                  <c:v>Maskinhyra och entreprenad</c:v>
                </c:pt>
                <c:pt idx="4">
                  <c:v>Energikostnader</c:v>
                </c:pt>
                <c:pt idx="5">
                  <c:v>Anställd arbetskraft </c:v>
                </c:pt>
                <c:pt idx="6">
                  <c:v>Allmänna kostnader</c:v>
                </c:pt>
                <c:pt idx="7">
                  <c:v>Åkerns arrende</c:v>
                </c:pt>
                <c:pt idx="8">
                  <c:v>Byggnader</c:v>
                </c:pt>
                <c:pt idx="9">
                  <c:v>Maskiner och utrustning</c:v>
                </c:pt>
                <c:pt idx="10">
                  <c:v>Långvariga produktionsmedel</c:v>
                </c:pt>
                <c:pt idx="11">
                  <c:v>Täckdiken</c:v>
                </c:pt>
                <c:pt idx="12">
                  <c:v>Eget arbete</c:v>
                </c:pt>
              </c:strCache>
            </c:strRef>
          </c:cat>
          <c:val>
            <c:numRef>
              <c:f>Korn!$AC$23:$AC$35</c:f>
              <c:numCache>
                <c:formatCode>0</c:formatCode>
                <c:ptCount val="13"/>
                <c:pt idx="0">
                  <c:v>0</c:v>
                </c:pt>
                <c:pt idx="1">
                  <c:v>0</c:v>
                </c:pt>
                <c:pt idx="2">
                  <c:v>0</c:v>
                </c:pt>
                <c:pt idx="3">
                  <c:v>0</c:v>
                </c:pt>
                <c:pt idx="4">
                  <c:v>0</c:v>
                </c:pt>
                <c:pt idx="5">
                  <c:v>0</c:v>
                </c:pt>
                <c:pt idx="6" formatCode="0.00">
                  <c:v>0</c:v>
                </c:pt>
                <c:pt idx="7" formatCode="0.00">
                  <c:v>0</c:v>
                </c:pt>
                <c:pt idx="8" formatCode="#,##0.00">
                  <c:v>0</c:v>
                </c:pt>
                <c:pt idx="9" formatCode="#,##0.00">
                  <c:v>0</c:v>
                </c:pt>
                <c:pt idx="10" formatCode="#,##0.00">
                  <c:v>0</c:v>
                </c:pt>
                <c:pt idx="11" formatCode="#,##0.00">
                  <c:v>0</c:v>
                </c:pt>
                <c:pt idx="12" formatCode="0.00">
                  <c:v>0</c:v>
                </c:pt>
              </c:numCache>
            </c:numRef>
          </c:val>
          <c:extLst>
            <c:ext xmlns:c16="http://schemas.microsoft.com/office/drawing/2014/chart" uri="{C3380CC4-5D6E-409C-BE32-E72D297353CC}">
              <c16:uniqueId val="{00000000-48EE-5444-B0AF-7DB229DAAFDF}"/>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sv-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sv-FI"/>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fi-FI"/>
              <a:t>Vehnän</a:t>
            </a:r>
            <a:r>
              <a:rPr lang="fi-FI" baseline="0"/>
              <a:t> kustannusrakenne</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sv-FI"/>
        </a:p>
      </c:txPr>
    </c:title>
    <c:autoTitleDeleted val="0"/>
    <c:plotArea>
      <c:layout/>
      <c:pie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A589-AD4D-8599-69AF96C9D66E}"/>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A589-AD4D-8599-69AF96C9D66E}"/>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A589-AD4D-8599-69AF96C9D66E}"/>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A589-AD4D-8599-69AF96C9D66E}"/>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A589-AD4D-8599-69AF96C9D66E}"/>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B-A589-AD4D-8599-69AF96C9D66E}"/>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D-A589-AD4D-8599-69AF96C9D66E}"/>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F-A589-AD4D-8599-69AF96C9D66E}"/>
              </c:ext>
            </c:extLst>
          </c:dPt>
          <c:dPt>
            <c:idx val="8"/>
            <c:bubble3D val="0"/>
            <c:spPr>
              <a:solidFill>
                <a:schemeClr val="accent3">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1-A589-AD4D-8599-69AF96C9D66E}"/>
              </c:ext>
            </c:extLst>
          </c:dPt>
          <c:dPt>
            <c:idx val="9"/>
            <c:bubble3D val="0"/>
            <c:spPr>
              <a:solidFill>
                <a:schemeClr val="accent4">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3-A589-AD4D-8599-69AF96C9D66E}"/>
              </c:ext>
            </c:extLst>
          </c:dPt>
          <c:dPt>
            <c:idx val="10"/>
            <c:bubble3D val="0"/>
            <c:spPr>
              <a:solidFill>
                <a:schemeClr val="accent5">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5-A589-AD4D-8599-69AF96C9D66E}"/>
              </c:ext>
            </c:extLst>
          </c:dPt>
          <c:dPt>
            <c:idx val="11"/>
            <c:bubble3D val="0"/>
            <c:spPr>
              <a:solidFill>
                <a:schemeClr val="accent6">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7-A589-AD4D-8599-69AF96C9D66E}"/>
              </c:ext>
            </c:extLst>
          </c:dPt>
          <c:dPt>
            <c:idx val="12"/>
            <c:bubble3D val="0"/>
            <c:spPr>
              <a:solidFill>
                <a:schemeClr val="accent1">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9-A589-AD4D-8599-69AF96C9D66E}"/>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sv-FI"/>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Vete!$AB$23:$AB$35</c:f>
              <c:strCache>
                <c:ptCount val="13"/>
                <c:pt idx="0">
                  <c:v>Frö</c:v>
                </c:pt>
                <c:pt idx="1">
                  <c:v>Gödsel och kalk</c:v>
                </c:pt>
                <c:pt idx="2">
                  <c:v>IPM Växtskydd</c:v>
                </c:pt>
                <c:pt idx="3">
                  <c:v>Maskinhyra och entreprenad</c:v>
                </c:pt>
                <c:pt idx="4">
                  <c:v>Energikostnader</c:v>
                </c:pt>
                <c:pt idx="5">
                  <c:v>Anställd arbetskraft </c:v>
                </c:pt>
                <c:pt idx="6">
                  <c:v>Allmänna kostnader</c:v>
                </c:pt>
                <c:pt idx="7">
                  <c:v>Åkerns arrende</c:v>
                </c:pt>
                <c:pt idx="8">
                  <c:v>Byggnader</c:v>
                </c:pt>
                <c:pt idx="9">
                  <c:v>Maskiner och utrustning</c:v>
                </c:pt>
                <c:pt idx="10">
                  <c:v>Långvariga produktionsmedel</c:v>
                </c:pt>
                <c:pt idx="11">
                  <c:v>Täckdiken</c:v>
                </c:pt>
                <c:pt idx="12">
                  <c:v>Eget arbete</c:v>
                </c:pt>
              </c:strCache>
            </c:strRef>
          </c:cat>
          <c:val>
            <c:numRef>
              <c:f>Vete!$AC$23:$AC$35</c:f>
              <c:numCache>
                <c:formatCode>0</c:formatCode>
                <c:ptCount val="13"/>
                <c:pt idx="0">
                  <c:v>0</c:v>
                </c:pt>
                <c:pt idx="1">
                  <c:v>0</c:v>
                </c:pt>
                <c:pt idx="2">
                  <c:v>0</c:v>
                </c:pt>
                <c:pt idx="3">
                  <c:v>0</c:v>
                </c:pt>
                <c:pt idx="4">
                  <c:v>0</c:v>
                </c:pt>
                <c:pt idx="5">
                  <c:v>0</c:v>
                </c:pt>
                <c:pt idx="6" formatCode="0.00">
                  <c:v>0</c:v>
                </c:pt>
                <c:pt idx="7" formatCode="0.00">
                  <c:v>0</c:v>
                </c:pt>
                <c:pt idx="8" formatCode="#,##0.00">
                  <c:v>0</c:v>
                </c:pt>
                <c:pt idx="9" formatCode="#,##0.00">
                  <c:v>0</c:v>
                </c:pt>
                <c:pt idx="10" formatCode="#,##0.00">
                  <c:v>0</c:v>
                </c:pt>
                <c:pt idx="11" formatCode="#,##0.00">
                  <c:v>0</c:v>
                </c:pt>
                <c:pt idx="12" formatCode="0.00">
                  <c:v>0</c:v>
                </c:pt>
              </c:numCache>
            </c:numRef>
          </c:val>
          <c:extLst>
            <c:ext xmlns:c16="http://schemas.microsoft.com/office/drawing/2014/chart" uri="{C3380CC4-5D6E-409C-BE32-E72D297353CC}">
              <c16:uniqueId val="{00000000-360E-5245-96FC-7B3E5208ACEE}"/>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sv-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sv-FI"/>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fi-FI"/>
              <a:t>Rukiin</a:t>
            </a:r>
            <a:r>
              <a:rPr lang="fi-FI" baseline="0"/>
              <a:t> kustannusrakenne</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sv-FI"/>
        </a:p>
      </c:txPr>
    </c:title>
    <c:autoTitleDeleted val="0"/>
    <c:plotArea>
      <c:layout/>
      <c:pie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42D9-C34D-BF17-2EFA34AE9206}"/>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42D9-C34D-BF17-2EFA34AE9206}"/>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42D9-C34D-BF17-2EFA34AE9206}"/>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42D9-C34D-BF17-2EFA34AE9206}"/>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42D9-C34D-BF17-2EFA34AE9206}"/>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B-42D9-C34D-BF17-2EFA34AE9206}"/>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D-42D9-C34D-BF17-2EFA34AE9206}"/>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F-42D9-C34D-BF17-2EFA34AE9206}"/>
              </c:ext>
            </c:extLst>
          </c:dPt>
          <c:dPt>
            <c:idx val="8"/>
            <c:bubble3D val="0"/>
            <c:spPr>
              <a:solidFill>
                <a:schemeClr val="accent3">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1-42D9-C34D-BF17-2EFA34AE9206}"/>
              </c:ext>
            </c:extLst>
          </c:dPt>
          <c:dPt>
            <c:idx val="9"/>
            <c:bubble3D val="0"/>
            <c:spPr>
              <a:solidFill>
                <a:schemeClr val="accent4">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3-42D9-C34D-BF17-2EFA34AE9206}"/>
              </c:ext>
            </c:extLst>
          </c:dPt>
          <c:dPt>
            <c:idx val="10"/>
            <c:bubble3D val="0"/>
            <c:spPr>
              <a:solidFill>
                <a:schemeClr val="accent5">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5-42D9-C34D-BF17-2EFA34AE9206}"/>
              </c:ext>
            </c:extLst>
          </c:dPt>
          <c:dPt>
            <c:idx val="11"/>
            <c:bubble3D val="0"/>
            <c:spPr>
              <a:solidFill>
                <a:schemeClr val="accent6">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7-42D9-C34D-BF17-2EFA34AE9206}"/>
              </c:ext>
            </c:extLst>
          </c:dPt>
          <c:dPt>
            <c:idx val="12"/>
            <c:bubble3D val="0"/>
            <c:spPr>
              <a:solidFill>
                <a:schemeClr val="accent1">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9-42D9-C34D-BF17-2EFA34AE9206}"/>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sv-FI"/>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Vete!$AB$23:$AB$35</c:f>
              <c:strCache>
                <c:ptCount val="13"/>
                <c:pt idx="0">
                  <c:v>Frö</c:v>
                </c:pt>
                <c:pt idx="1">
                  <c:v>Gödsel och kalk</c:v>
                </c:pt>
                <c:pt idx="2">
                  <c:v>IPM Växtskydd</c:v>
                </c:pt>
                <c:pt idx="3">
                  <c:v>Maskinhyra och entreprenad</c:v>
                </c:pt>
                <c:pt idx="4">
                  <c:v>Energikostnader</c:v>
                </c:pt>
                <c:pt idx="5">
                  <c:v>Anställd arbetskraft </c:v>
                </c:pt>
                <c:pt idx="6">
                  <c:v>Allmänna kostnader</c:v>
                </c:pt>
                <c:pt idx="7">
                  <c:v>Åkerns arrende</c:v>
                </c:pt>
                <c:pt idx="8">
                  <c:v>Byggnader</c:v>
                </c:pt>
                <c:pt idx="9">
                  <c:v>Maskiner och utrustning</c:v>
                </c:pt>
                <c:pt idx="10">
                  <c:v>Långvariga produktionsmedel</c:v>
                </c:pt>
                <c:pt idx="11">
                  <c:v>Täckdiken</c:v>
                </c:pt>
                <c:pt idx="12">
                  <c:v>Eget arbete</c:v>
                </c:pt>
              </c:strCache>
            </c:strRef>
          </c:cat>
          <c:val>
            <c:numRef>
              <c:f>Vete!$AC$23:$AC$35</c:f>
              <c:numCache>
                <c:formatCode>0</c:formatCode>
                <c:ptCount val="13"/>
                <c:pt idx="0">
                  <c:v>0</c:v>
                </c:pt>
                <c:pt idx="1">
                  <c:v>0</c:v>
                </c:pt>
                <c:pt idx="2">
                  <c:v>0</c:v>
                </c:pt>
                <c:pt idx="3">
                  <c:v>0</c:v>
                </c:pt>
                <c:pt idx="4">
                  <c:v>0</c:v>
                </c:pt>
                <c:pt idx="5">
                  <c:v>0</c:v>
                </c:pt>
                <c:pt idx="6" formatCode="0.00">
                  <c:v>0</c:v>
                </c:pt>
                <c:pt idx="7" formatCode="0.00">
                  <c:v>0</c:v>
                </c:pt>
                <c:pt idx="8" formatCode="#,##0.00">
                  <c:v>0</c:v>
                </c:pt>
                <c:pt idx="9" formatCode="#,##0.00">
                  <c:v>0</c:v>
                </c:pt>
                <c:pt idx="10" formatCode="#,##0.00">
                  <c:v>0</c:v>
                </c:pt>
                <c:pt idx="11" formatCode="#,##0.00">
                  <c:v>0</c:v>
                </c:pt>
                <c:pt idx="12" formatCode="0.00">
                  <c:v>0</c:v>
                </c:pt>
              </c:numCache>
            </c:numRef>
          </c:val>
          <c:extLst>
            <c:ext xmlns:c16="http://schemas.microsoft.com/office/drawing/2014/chart" uri="{C3380CC4-5D6E-409C-BE32-E72D297353CC}">
              <c16:uniqueId val="{0000001A-42D9-C34D-BF17-2EFA34AE9206}"/>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sv-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sv-FI"/>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fi-FI"/>
              <a:t>Kustannusten</a:t>
            </a:r>
            <a:r>
              <a:rPr lang="fi-FI" baseline="0"/>
              <a:t> jakautuminen</a:t>
            </a:r>
            <a:endParaRPr lang="fi-FI"/>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sv-FI"/>
        </a:p>
      </c:txPr>
    </c:title>
    <c:autoTitleDeleted val="0"/>
    <c:plotArea>
      <c:layout/>
      <c:pie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FF93-3F40-A3D9-6D4AC32F8BED}"/>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FF93-3F40-A3D9-6D4AC32F8BED}"/>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FF93-3F40-A3D9-6D4AC32F8BED}"/>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FF93-3F40-A3D9-6D4AC32F8BED}"/>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FF93-3F40-A3D9-6D4AC32F8BED}"/>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B-FF93-3F40-A3D9-6D4AC32F8BED}"/>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D-FF93-3F40-A3D9-6D4AC32F8BED}"/>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F-FF93-3F40-A3D9-6D4AC32F8BED}"/>
              </c:ext>
            </c:extLst>
          </c:dPt>
          <c:dPt>
            <c:idx val="8"/>
            <c:bubble3D val="0"/>
            <c:spPr>
              <a:solidFill>
                <a:schemeClr val="accent3">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1-FF93-3F40-A3D9-6D4AC32F8BED}"/>
              </c:ext>
            </c:extLst>
          </c:dPt>
          <c:dPt>
            <c:idx val="9"/>
            <c:bubble3D val="0"/>
            <c:spPr>
              <a:solidFill>
                <a:schemeClr val="accent4">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3-FF93-3F40-A3D9-6D4AC32F8BED}"/>
              </c:ext>
            </c:extLst>
          </c:dPt>
          <c:dPt>
            <c:idx val="10"/>
            <c:bubble3D val="0"/>
            <c:spPr>
              <a:solidFill>
                <a:schemeClr val="accent5">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5-FF93-3F40-A3D9-6D4AC32F8BED}"/>
              </c:ext>
            </c:extLst>
          </c:dPt>
          <c:dPt>
            <c:idx val="11"/>
            <c:bubble3D val="0"/>
            <c:spPr>
              <a:solidFill>
                <a:schemeClr val="accent6">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7-FF93-3F40-A3D9-6D4AC32F8BED}"/>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sv-FI"/>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Naturvårdsåker!$AB$24:$AB$35</c:f>
              <c:strCache>
                <c:ptCount val="12"/>
                <c:pt idx="0">
                  <c:v>Gödsel och kalk</c:v>
                </c:pt>
                <c:pt idx="1">
                  <c:v>IPM Växtskydd</c:v>
                </c:pt>
                <c:pt idx="2">
                  <c:v>Maskinhyra och entreprenad</c:v>
                </c:pt>
                <c:pt idx="3">
                  <c:v>Energikostnader</c:v>
                </c:pt>
                <c:pt idx="4">
                  <c:v>Anställd arbetskraft </c:v>
                </c:pt>
                <c:pt idx="5">
                  <c:v>Allmänna kostnader</c:v>
                </c:pt>
                <c:pt idx="6">
                  <c:v>Åkerns arrende</c:v>
                </c:pt>
                <c:pt idx="7">
                  <c:v>Byggnader</c:v>
                </c:pt>
                <c:pt idx="8">
                  <c:v>Maskiner och utrustning</c:v>
                </c:pt>
                <c:pt idx="9">
                  <c:v>Långvariga produktionsmedel</c:v>
                </c:pt>
                <c:pt idx="10">
                  <c:v>Täckdiken</c:v>
                </c:pt>
                <c:pt idx="11">
                  <c:v>Eget arbete</c:v>
                </c:pt>
              </c:strCache>
            </c:strRef>
          </c:cat>
          <c:val>
            <c:numRef>
              <c:f>Naturvårdsåker!$AC$24:$AC$35</c:f>
              <c:numCache>
                <c:formatCode>0.00</c:formatCode>
                <c:ptCount val="12"/>
                <c:pt idx="0">
                  <c:v>0</c:v>
                </c:pt>
                <c:pt idx="1">
                  <c:v>0</c:v>
                </c:pt>
                <c:pt idx="2">
                  <c:v>0</c:v>
                </c:pt>
                <c:pt idx="3">
                  <c:v>0</c:v>
                </c:pt>
                <c:pt idx="4">
                  <c:v>0</c:v>
                </c:pt>
                <c:pt idx="5">
                  <c:v>0</c:v>
                </c:pt>
                <c:pt idx="6">
                  <c:v>0</c:v>
                </c:pt>
                <c:pt idx="7" formatCode="#,##0.00">
                  <c:v>0</c:v>
                </c:pt>
                <c:pt idx="8" formatCode="#,##0.00">
                  <c:v>0</c:v>
                </c:pt>
                <c:pt idx="9" formatCode="#,##0.00">
                  <c:v>0</c:v>
                </c:pt>
                <c:pt idx="10" formatCode="#,##0.00">
                  <c:v>0</c:v>
                </c:pt>
                <c:pt idx="11">
                  <c:v>0</c:v>
                </c:pt>
              </c:numCache>
            </c:numRef>
          </c:val>
          <c:extLst>
            <c:ext xmlns:c16="http://schemas.microsoft.com/office/drawing/2014/chart" uri="{C3380CC4-5D6E-409C-BE32-E72D297353CC}">
              <c16:uniqueId val="{00000000-ABAD-EE45-982F-A3FA23C915F0}"/>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sv-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sv-FI"/>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fi-FI"/>
              <a:t>Kustannusten</a:t>
            </a:r>
            <a:r>
              <a:rPr lang="fi-FI" baseline="0"/>
              <a:t> jakautuminen</a:t>
            </a:r>
            <a:endParaRPr lang="fi-FI"/>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sv-FI"/>
        </a:p>
      </c:txPr>
    </c:title>
    <c:autoTitleDeleted val="0"/>
    <c:plotArea>
      <c:layout/>
      <c:pie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9D5D-B143-93EF-6B13416DCD78}"/>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9D5D-B143-93EF-6B13416DCD78}"/>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9D5D-B143-93EF-6B13416DCD78}"/>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9D5D-B143-93EF-6B13416DCD78}"/>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9D5D-B143-93EF-6B13416DCD78}"/>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B-9D5D-B143-93EF-6B13416DCD78}"/>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D-9D5D-B143-93EF-6B13416DCD78}"/>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F-9D5D-B143-93EF-6B13416DCD78}"/>
              </c:ext>
            </c:extLst>
          </c:dPt>
          <c:dPt>
            <c:idx val="8"/>
            <c:bubble3D val="0"/>
            <c:spPr>
              <a:solidFill>
                <a:schemeClr val="accent3">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1-9D5D-B143-93EF-6B13416DCD78}"/>
              </c:ext>
            </c:extLst>
          </c:dPt>
          <c:dPt>
            <c:idx val="9"/>
            <c:bubble3D val="0"/>
            <c:spPr>
              <a:solidFill>
                <a:schemeClr val="accent4">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3-9D5D-B143-93EF-6B13416DCD78}"/>
              </c:ext>
            </c:extLst>
          </c:dPt>
          <c:dPt>
            <c:idx val="10"/>
            <c:bubble3D val="0"/>
            <c:spPr>
              <a:solidFill>
                <a:schemeClr val="accent5">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5-9D5D-B143-93EF-6B13416DCD78}"/>
              </c:ext>
            </c:extLst>
          </c:dPt>
          <c:dPt>
            <c:idx val="11"/>
            <c:bubble3D val="0"/>
            <c:spPr>
              <a:solidFill>
                <a:schemeClr val="accent6">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7-9D5D-B143-93EF-6B13416DCD78}"/>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sv-FI"/>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Naturvårdsåker!$AB$24:$AB$35</c:f>
              <c:strCache>
                <c:ptCount val="12"/>
                <c:pt idx="0">
                  <c:v>Gödsel och kalk</c:v>
                </c:pt>
                <c:pt idx="1">
                  <c:v>IPM Växtskydd</c:v>
                </c:pt>
                <c:pt idx="2">
                  <c:v>Maskinhyra och entreprenad</c:v>
                </c:pt>
                <c:pt idx="3">
                  <c:v>Energikostnader</c:v>
                </c:pt>
                <c:pt idx="4">
                  <c:v>Anställd arbetskraft </c:v>
                </c:pt>
                <c:pt idx="5">
                  <c:v>Allmänna kostnader</c:v>
                </c:pt>
                <c:pt idx="6">
                  <c:v>Åkerns arrende</c:v>
                </c:pt>
                <c:pt idx="7">
                  <c:v>Byggnader</c:v>
                </c:pt>
                <c:pt idx="8">
                  <c:v>Maskiner och utrustning</c:v>
                </c:pt>
                <c:pt idx="9">
                  <c:v>Långvariga produktionsmedel</c:v>
                </c:pt>
                <c:pt idx="10">
                  <c:v>Täckdiken</c:v>
                </c:pt>
                <c:pt idx="11">
                  <c:v>Eget arbete</c:v>
                </c:pt>
              </c:strCache>
            </c:strRef>
          </c:cat>
          <c:val>
            <c:numRef>
              <c:f>Naturvårdsåker!$AC$24:$AC$35</c:f>
              <c:numCache>
                <c:formatCode>0.00</c:formatCode>
                <c:ptCount val="12"/>
                <c:pt idx="0">
                  <c:v>0</c:v>
                </c:pt>
                <c:pt idx="1">
                  <c:v>0</c:v>
                </c:pt>
                <c:pt idx="2">
                  <c:v>0</c:v>
                </c:pt>
                <c:pt idx="3">
                  <c:v>0</c:v>
                </c:pt>
                <c:pt idx="4">
                  <c:v>0</c:v>
                </c:pt>
                <c:pt idx="5">
                  <c:v>0</c:v>
                </c:pt>
                <c:pt idx="6">
                  <c:v>0</c:v>
                </c:pt>
                <c:pt idx="7" formatCode="#,##0.00">
                  <c:v>0</c:v>
                </c:pt>
                <c:pt idx="8" formatCode="#,##0.00">
                  <c:v>0</c:v>
                </c:pt>
                <c:pt idx="9" formatCode="#,##0.00">
                  <c:v>0</c:v>
                </c:pt>
                <c:pt idx="10" formatCode="#,##0.00">
                  <c:v>0</c:v>
                </c:pt>
                <c:pt idx="11">
                  <c:v>0</c:v>
                </c:pt>
              </c:numCache>
            </c:numRef>
          </c:val>
          <c:extLst>
            <c:ext xmlns:c16="http://schemas.microsoft.com/office/drawing/2014/chart" uri="{C3380CC4-5D6E-409C-BE32-E72D297353CC}">
              <c16:uniqueId val="{00000018-9D5D-B143-93EF-6B13416DCD78}"/>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sv-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sv-FI"/>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r>
              <a:rPr lang="fi-FI"/>
              <a:t>Företagarens vinst</a:t>
            </a:r>
          </a:p>
        </c:rich>
      </c:tx>
      <c:layout>
        <c:manualLayout>
          <c:xMode val="edge"/>
          <c:yMode val="edge"/>
          <c:x val="0.33617224054406886"/>
          <c:y val="1.5759306987577448E-2"/>
        </c:manualLayout>
      </c:layout>
      <c:overlay val="0"/>
      <c:spPr>
        <a:noFill/>
        <a:ln>
          <a:noFill/>
        </a:ln>
        <a:effectLst/>
      </c:spPr>
      <c:txPr>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endParaRPr lang="sv-FI"/>
        </a:p>
      </c:txPr>
    </c:title>
    <c:autoTitleDeleted val="0"/>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sv-F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'Hela gårdens lönsamhet'!$C$137:$C$158</c:f>
              <c:strCache>
                <c:ptCount val="22"/>
                <c:pt idx="0">
                  <c:v>Morot</c:v>
                </c:pt>
                <c:pt idx="1">
                  <c:v>Kål</c:v>
                </c:pt>
                <c:pt idx="2">
                  <c:v>Lök</c:v>
                </c:pt>
                <c:pt idx="3">
                  <c:v>Trädgårdsärt</c:v>
                </c:pt>
                <c:pt idx="4">
                  <c:v>Grönsak från frö 1</c:v>
                </c:pt>
                <c:pt idx="5">
                  <c:v>Grönsak från frö 2</c:v>
                </c:pt>
                <c:pt idx="6">
                  <c:v>Planterad grönsak 1</c:v>
                </c:pt>
                <c:pt idx="7">
                  <c:v>Planterad grönsak 2</c:v>
                </c:pt>
                <c:pt idx="8">
                  <c:v>Planterad grönsak 3</c:v>
                </c:pt>
                <c:pt idx="9">
                  <c:v>Jordgubbe friland</c:v>
                </c:pt>
                <c:pt idx="10">
                  <c:v>Jordgubbe tunnel</c:v>
                </c:pt>
                <c:pt idx="11">
                  <c:v>Hallon friland</c:v>
                </c:pt>
                <c:pt idx="12">
                  <c:v>Hallon tunnel</c:v>
                </c:pt>
                <c:pt idx="13">
                  <c:v>Svarta vinbär</c:v>
                </c:pt>
                <c:pt idx="14">
                  <c:v>Buskblåbär</c:v>
                </c:pt>
                <c:pt idx="15">
                  <c:v>Äpple</c:v>
                </c:pt>
                <c:pt idx="16">
                  <c:v>Havre</c:v>
                </c:pt>
                <c:pt idx="17">
                  <c:v>Korn</c:v>
                </c:pt>
                <c:pt idx="18">
                  <c:v>Vete</c:v>
                </c:pt>
                <c:pt idx="19">
                  <c:v>Höstråg</c:v>
                </c:pt>
                <c:pt idx="20">
                  <c:v>Naturvårdsåker</c:v>
                </c:pt>
                <c:pt idx="21">
                  <c:v>Vall</c:v>
                </c:pt>
              </c:strCache>
            </c:strRef>
          </c:cat>
          <c:val>
            <c:numRef>
              <c:f>'Hela gårdens lönsamhet'!$J$137:$J$158</c:f>
              <c:numCache>
                <c:formatCode>#,##0</c:formatCode>
                <c:ptCount val="22"/>
                <c:pt idx="0">
                  <c:v>35957.893014109344</c:v>
                </c:pt>
                <c:pt idx="1">
                  <c:v>24650.387680776013</c:v>
                </c:pt>
                <c:pt idx="2">
                  <c:v>15261.120847442682</c:v>
                </c:pt>
                <c:pt idx="3">
                  <c:v>1545.1610141093479</c:v>
                </c:pt>
                <c:pt idx="4">
                  <c:v>0</c:v>
                </c:pt>
                <c:pt idx="5">
                  <c:v>0</c:v>
                </c:pt>
                <c:pt idx="6">
                  <c:v>0</c:v>
                </c:pt>
                <c:pt idx="7">
                  <c:v>0</c:v>
                </c:pt>
                <c:pt idx="8">
                  <c:v>0</c:v>
                </c:pt>
                <c:pt idx="9">
                  <c:v>-96318.174818342144</c:v>
                </c:pt>
                <c:pt idx="10">
                  <c:v>-67105.452225749556</c:v>
                </c:pt>
                <c:pt idx="11">
                  <c:v>-74112.258657848361</c:v>
                </c:pt>
                <c:pt idx="12">
                  <c:v>6917.6875855379149</c:v>
                </c:pt>
                <c:pt idx="13">
                  <c:v>-23458.735040564385</c:v>
                </c:pt>
                <c:pt idx="14">
                  <c:v>25270.885785537917</c:v>
                </c:pt>
                <c:pt idx="15">
                  <c:v>-27413.498081481481</c:v>
                </c:pt>
                <c:pt idx="16">
                  <c:v>-3301.6304814814803</c:v>
                </c:pt>
                <c:pt idx="17">
                  <c:v>0</c:v>
                </c:pt>
                <c:pt idx="18">
                  <c:v>0</c:v>
                </c:pt>
                <c:pt idx="19">
                  <c:v>0</c:v>
                </c:pt>
                <c:pt idx="20">
                  <c:v>0</c:v>
                </c:pt>
                <c:pt idx="21">
                  <c:v>0</c:v>
                </c:pt>
              </c:numCache>
            </c:numRef>
          </c:val>
          <c:extLst>
            <c:ext xmlns:c16="http://schemas.microsoft.com/office/drawing/2014/chart" uri="{C3380CC4-5D6E-409C-BE32-E72D297353CC}">
              <c16:uniqueId val="{00000000-95EB-3B43-9402-58ACE9F7CA72}"/>
            </c:ext>
          </c:extLst>
        </c:ser>
        <c:dLbls>
          <c:dLblPos val="inEnd"/>
          <c:showLegendKey val="0"/>
          <c:showVal val="1"/>
          <c:showCatName val="0"/>
          <c:showSerName val="0"/>
          <c:showPercent val="0"/>
          <c:showBubbleSize val="0"/>
        </c:dLbls>
        <c:gapWidth val="41"/>
        <c:axId val="845066527"/>
        <c:axId val="844911071"/>
      </c:barChart>
      <c:catAx>
        <c:axId val="845066527"/>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sv-FI"/>
          </a:p>
        </c:txPr>
        <c:crossAx val="844911071"/>
        <c:crosses val="autoZero"/>
        <c:auto val="1"/>
        <c:lblAlgn val="ctr"/>
        <c:lblOffset val="100"/>
        <c:noMultiLvlLbl val="0"/>
      </c:catAx>
      <c:valAx>
        <c:axId val="844911071"/>
        <c:scaling>
          <c:orientation val="minMax"/>
        </c:scaling>
        <c:delete val="1"/>
        <c:axPos val="l"/>
        <c:numFmt formatCode="#,##0" sourceLinked="1"/>
        <c:majorTickMark val="none"/>
        <c:minorTickMark val="none"/>
        <c:tickLblPos val="nextTo"/>
        <c:crossAx val="84506652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sv-FI"/>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fi-FI"/>
              <a:t>Fördelning</a:t>
            </a:r>
            <a:r>
              <a:rPr lang="fi-FI" baseline="0"/>
              <a:t> av försäljningsinkomsterna</a:t>
            </a:r>
            <a:endParaRPr lang="fi-FI"/>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sv-FI"/>
        </a:p>
      </c:txPr>
    </c:title>
    <c:autoTitleDeleted val="0"/>
    <c:plotArea>
      <c:layout/>
      <c:pie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D87A-6444-B0C8-7970992BC812}"/>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D87A-6444-B0C8-7970992BC812}"/>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D87A-6444-B0C8-7970992BC812}"/>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D87A-6444-B0C8-7970992BC812}"/>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D87A-6444-B0C8-7970992BC812}"/>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B-D87A-6444-B0C8-7970992BC812}"/>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D-D87A-6444-B0C8-7970992BC812}"/>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F-D87A-6444-B0C8-7970992BC812}"/>
              </c:ext>
            </c:extLst>
          </c:dPt>
          <c:dPt>
            <c:idx val="8"/>
            <c:bubble3D val="0"/>
            <c:spPr>
              <a:solidFill>
                <a:schemeClr val="accent3">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1-D87A-6444-B0C8-7970992BC812}"/>
              </c:ext>
            </c:extLst>
          </c:dPt>
          <c:dPt>
            <c:idx val="9"/>
            <c:bubble3D val="0"/>
            <c:spPr>
              <a:solidFill>
                <a:schemeClr val="accent4">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3-D87A-6444-B0C8-7970992BC812}"/>
              </c:ext>
            </c:extLst>
          </c:dPt>
          <c:dPt>
            <c:idx val="10"/>
            <c:bubble3D val="0"/>
            <c:spPr>
              <a:solidFill>
                <a:schemeClr val="accent5">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5-D87A-6444-B0C8-7970992BC812}"/>
              </c:ext>
            </c:extLst>
          </c:dPt>
          <c:dPt>
            <c:idx val="11"/>
            <c:bubble3D val="0"/>
            <c:spPr>
              <a:solidFill>
                <a:schemeClr val="accent6">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7-D87A-6444-B0C8-7970992BC812}"/>
              </c:ext>
            </c:extLst>
          </c:dPt>
          <c:dPt>
            <c:idx val="12"/>
            <c:bubble3D val="0"/>
            <c:spPr>
              <a:solidFill>
                <a:schemeClr val="accent1">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9-D87A-6444-B0C8-7970992BC812}"/>
              </c:ext>
            </c:extLst>
          </c:dPt>
          <c:dPt>
            <c:idx val="13"/>
            <c:bubble3D val="0"/>
            <c:spPr>
              <a:solidFill>
                <a:schemeClr val="accent2">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B-848A-7D4F-A51F-37E7214571D5}"/>
              </c:ext>
            </c:extLst>
          </c:dPt>
          <c:dPt>
            <c:idx val="14"/>
            <c:bubble3D val="0"/>
            <c:spPr>
              <a:solidFill>
                <a:schemeClr val="accent3">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D-848A-7D4F-A51F-37E7214571D5}"/>
              </c:ext>
            </c:extLst>
          </c:dPt>
          <c:dPt>
            <c:idx val="15"/>
            <c:bubble3D val="0"/>
            <c:spPr>
              <a:solidFill>
                <a:schemeClr val="accent4">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F-DA8A-3E4F-8BBC-043C9B5CEB11}"/>
              </c:ext>
            </c:extLst>
          </c:dPt>
          <c:dPt>
            <c:idx val="16"/>
            <c:bubble3D val="0"/>
            <c:spPr>
              <a:solidFill>
                <a:schemeClr val="accent5">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1-DA8A-3E4F-8BBC-043C9B5CEB11}"/>
              </c:ext>
            </c:extLst>
          </c:dPt>
          <c:dPt>
            <c:idx val="17"/>
            <c:bubble3D val="0"/>
            <c:spPr>
              <a:solidFill>
                <a:schemeClr val="accent6">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3-78D5-9E48-807B-CB3C859E46E4}"/>
              </c:ext>
            </c:extLst>
          </c:dPt>
          <c:dPt>
            <c:idx val="18"/>
            <c:bubble3D val="0"/>
            <c:spPr>
              <a:solidFill>
                <a:schemeClr val="accent1">
                  <a:lumMod val="8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5-78D5-9E48-807B-CB3C859E46E4}"/>
              </c:ext>
            </c:extLst>
          </c:dPt>
          <c:dPt>
            <c:idx val="19"/>
            <c:bubble3D val="0"/>
            <c:spPr>
              <a:solidFill>
                <a:schemeClr val="accent2">
                  <a:lumMod val="8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7-78D5-9E48-807B-CB3C859E46E4}"/>
              </c:ext>
            </c:extLst>
          </c:dPt>
          <c:dPt>
            <c:idx val="20"/>
            <c:bubble3D val="0"/>
            <c:spPr>
              <a:solidFill>
                <a:schemeClr val="accent3">
                  <a:lumMod val="8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9-78D5-9E48-807B-CB3C859E46E4}"/>
              </c:ext>
            </c:extLst>
          </c:dPt>
          <c:dPt>
            <c:idx val="21"/>
            <c:bubble3D val="0"/>
            <c:spPr>
              <a:solidFill>
                <a:schemeClr val="accent4">
                  <a:lumMod val="8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B-78D5-9E48-807B-CB3C859E46E4}"/>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sv-FI"/>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'Hela gårdens lönsamhet'!$C$8:$C$29</c:f>
              <c:strCache>
                <c:ptCount val="22"/>
                <c:pt idx="0">
                  <c:v>Morot</c:v>
                </c:pt>
                <c:pt idx="1">
                  <c:v>Kål</c:v>
                </c:pt>
                <c:pt idx="2">
                  <c:v>Lök</c:v>
                </c:pt>
                <c:pt idx="3">
                  <c:v>Trädgårdsärt</c:v>
                </c:pt>
                <c:pt idx="4">
                  <c:v>Grönsak från frö 1</c:v>
                </c:pt>
                <c:pt idx="5">
                  <c:v>Grönsak från frö 2</c:v>
                </c:pt>
                <c:pt idx="6">
                  <c:v>Planterad grönsak 1</c:v>
                </c:pt>
                <c:pt idx="7">
                  <c:v>Planterad grönsak 2</c:v>
                </c:pt>
                <c:pt idx="8">
                  <c:v>Planterad grönsak 3</c:v>
                </c:pt>
                <c:pt idx="9">
                  <c:v>Jordgubbe friland</c:v>
                </c:pt>
                <c:pt idx="10">
                  <c:v>Jordgubbe tunnel</c:v>
                </c:pt>
                <c:pt idx="11">
                  <c:v>Hallon friland</c:v>
                </c:pt>
                <c:pt idx="12">
                  <c:v>Hallon tunnel</c:v>
                </c:pt>
                <c:pt idx="13">
                  <c:v>Svarta vinbär</c:v>
                </c:pt>
                <c:pt idx="14">
                  <c:v>Buskblåbär</c:v>
                </c:pt>
                <c:pt idx="15">
                  <c:v>Äpple</c:v>
                </c:pt>
                <c:pt idx="16">
                  <c:v>Havre</c:v>
                </c:pt>
                <c:pt idx="17">
                  <c:v>Korn</c:v>
                </c:pt>
                <c:pt idx="18">
                  <c:v>Vete</c:v>
                </c:pt>
                <c:pt idx="19">
                  <c:v>Höstråg</c:v>
                </c:pt>
                <c:pt idx="20">
                  <c:v>Naturvårdsåker</c:v>
                </c:pt>
                <c:pt idx="21">
                  <c:v>Vall</c:v>
                </c:pt>
              </c:strCache>
            </c:strRef>
          </c:cat>
          <c:val>
            <c:numRef>
              <c:f>'Hela gårdens lönsamhet'!$J$8:$J$29</c:f>
              <c:numCache>
                <c:formatCode>#,##0</c:formatCode>
                <c:ptCount val="22"/>
                <c:pt idx="0">
                  <c:v>54240</c:v>
                </c:pt>
                <c:pt idx="1">
                  <c:v>41800</c:v>
                </c:pt>
                <c:pt idx="2">
                  <c:v>33600</c:v>
                </c:pt>
                <c:pt idx="3">
                  <c:v>15200</c:v>
                </c:pt>
                <c:pt idx="4">
                  <c:v>0</c:v>
                </c:pt>
                <c:pt idx="5">
                  <c:v>0</c:v>
                </c:pt>
                <c:pt idx="6">
                  <c:v>0</c:v>
                </c:pt>
                <c:pt idx="7">
                  <c:v>0</c:v>
                </c:pt>
                <c:pt idx="8">
                  <c:v>0</c:v>
                </c:pt>
                <c:pt idx="9">
                  <c:v>85850</c:v>
                </c:pt>
                <c:pt idx="10">
                  <c:v>40400</c:v>
                </c:pt>
                <c:pt idx="11">
                  <c:v>92530</c:v>
                </c:pt>
                <c:pt idx="12">
                  <c:v>23132.5</c:v>
                </c:pt>
                <c:pt idx="13">
                  <c:v>94250</c:v>
                </c:pt>
                <c:pt idx="14">
                  <c:v>53685</c:v>
                </c:pt>
                <c:pt idx="15">
                  <c:v>69700</c:v>
                </c:pt>
                <c:pt idx="16">
                  <c:v>2835.0000000000005</c:v>
                </c:pt>
                <c:pt idx="17">
                  <c:v>0</c:v>
                </c:pt>
                <c:pt idx="18">
                  <c:v>0</c:v>
                </c:pt>
                <c:pt idx="19">
                  <c:v>0</c:v>
                </c:pt>
                <c:pt idx="20">
                  <c:v>0</c:v>
                </c:pt>
                <c:pt idx="21">
                  <c:v>0</c:v>
                </c:pt>
              </c:numCache>
            </c:numRef>
          </c:val>
          <c:extLst>
            <c:ext xmlns:c16="http://schemas.microsoft.com/office/drawing/2014/chart" uri="{C3380CC4-5D6E-409C-BE32-E72D297353CC}">
              <c16:uniqueId val="{00000000-9D1E-704C-BF04-B5D270AFA62C}"/>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sv-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sv-FI"/>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MOROT KOSTNADSFÖRDELNING</a:t>
            </a:r>
          </a:p>
        </c:rich>
      </c:tx>
      <c:layout>
        <c:manualLayout>
          <c:xMode val="edge"/>
          <c:yMode val="edge"/>
          <c:x val="0.30559936908517349"/>
          <c:y val="1.2093987560469938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sv-FI"/>
        </a:p>
      </c:txPr>
    </c:title>
    <c:autoTitleDeleted val="0"/>
    <c:plotArea>
      <c:layout/>
      <c:pie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960B-9F4A-A586-4B497A60D5C4}"/>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960B-9F4A-A586-4B497A60D5C4}"/>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960B-9F4A-A586-4B497A60D5C4}"/>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960B-9F4A-A586-4B497A60D5C4}"/>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960B-9F4A-A586-4B497A60D5C4}"/>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B-960B-9F4A-A586-4B497A60D5C4}"/>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D-960B-9F4A-A586-4B497A60D5C4}"/>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F-960B-9F4A-A586-4B497A60D5C4}"/>
              </c:ext>
            </c:extLst>
          </c:dPt>
          <c:dPt>
            <c:idx val="8"/>
            <c:bubble3D val="0"/>
            <c:spPr>
              <a:solidFill>
                <a:schemeClr val="accent3">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1-960B-9F4A-A586-4B497A60D5C4}"/>
              </c:ext>
            </c:extLst>
          </c:dPt>
          <c:dPt>
            <c:idx val="9"/>
            <c:bubble3D val="0"/>
            <c:spPr>
              <a:solidFill>
                <a:schemeClr val="accent4">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3-960B-9F4A-A586-4B497A60D5C4}"/>
              </c:ext>
            </c:extLst>
          </c:dPt>
          <c:dPt>
            <c:idx val="10"/>
            <c:bubble3D val="0"/>
            <c:spPr>
              <a:solidFill>
                <a:schemeClr val="accent5">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5-960B-9F4A-A586-4B497A60D5C4}"/>
              </c:ext>
            </c:extLst>
          </c:dPt>
          <c:dPt>
            <c:idx val="11"/>
            <c:bubble3D val="0"/>
            <c:spPr>
              <a:solidFill>
                <a:schemeClr val="accent6">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7-960B-9F4A-A586-4B497A60D5C4}"/>
              </c:ext>
            </c:extLst>
          </c:dPt>
          <c:dPt>
            <c:idx val="12"/>
            <c:bubble3D val="0"/>
            <c:spPr>
              <a:solidFill>
                <a:schemeClr val="accent1">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9-960B-9F4A-A586-4B497A60D5C4}"/>
              </c:ext>
            </c:extLst>
          </c:dPt>
          <c:dPt>
            <c:idx val="13"/>
            <c:bubble3D val="0"/>
            <c:spPr>
              <a:solidFill>
                <a:schemeClr val="accent2">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B-960B-9F4A-A586-4B497A60D5C4}"/>
              </c:ext>
            </c:extLst>
          </c:dPt>
          <c:dPt>
            <c:idx val="14"/>
            <c:bubble3D val="0"/>
            <c:spPr>
              <a:solidFill>
                <a:schemeClr val="accent3">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D-9394-4535-BB0A-2E12CA849058}"/>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sv-FI"/>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Morot!$AB$25:$AB$39</c:f>
              <c:strCache>
                <c:ptCount val="15"/>
                <c:pt idx="0">
                  <c:v>Frö</c:v>
                </c:pt>
                <c:pt idx="1">
                  <c:v>Gödsel och kalk</c:v>
                </c:pt>
                <c:pt idx="2">
                  <c:v>IPM Växtskydd</c:v>
                </c:pt>
                <c:pt idx="3">
                  <c:v>Packningsmaterial</c:v>
                </c:pt>
                <c:pt idx="4">
                  <c:v>Fraktkostnader</c:v>
                </c:pt>
                <c:pt idx="5">
                  <c:v>Maskinkostnader och entreprenad</c:v>
                </c:pt>
                <c:pt idx="6">
                  <c:v>Energikostnader</c:v>
                </c:pt>
                <c:pt idx="7">
                  <c:v>Anställd arbetskraft</c:v>
                </c:pt>
                <c:pt idx="8">
                  <c:v>Allmänna kostnader</c:v>
                </c:pt>
                <c:pt idx="9">
                  <c:v>Åker arrende</c:v>
                </c:pt>
                <c:pt idx="10">
                  <c:v>Byggnader</c:v>
                </c:pt>
                <c:pt idx="11">
                  <c:v>Maskiner och utrustning</c:v>
                </c:pt>
                <c:pt idx="12">
                  <c:v>Långvariga produktionsmedel</c:v>
                </c:pt>
                <c:pt idx="13">
                  <c:v>Täckdiken</c:v>
                </c:pt>
                <c:pt idx="14">
                  <c:v>Eget arbete</c:v>
                </c:pt>
              </c:strCache>
            </c:strRef>
          </c:cat>
          <c:val>
            <c:numRef>
              <c:f>Morot!$AC$25:$AC$39</c:f>
              <c:numCache>
                <c:formatCode>0</c:formatCode>
                <c:ptCount val="15"/>
                <c:pt idx="0">
                  <c:v>700</c:v>
                </c:pt>
                <c:pt idx="1">
                  <c:v>1292</c:v>
                </c:pt>
                <c:pt idx="2">
                  <c:v>213.64800000000002</c:v>
                </c:pt>
                <c:pt idx="3">
                  <c:v>780</c:v>
                </c:pt>
                <c:pt idx="4">
                  <c:v>122</c:v>
                </c:pt>
                <c:pt idx="5">
                  <c:v>0</c:v>
                </c:pt>
                <c:pt idx="6">
                  <c:v>2423.1999999999998</c:v>
                </c:pt>
                <c:pt idx="7">
                  <c:v>870</c:v>
                </c:pt>
                <c:pt idx="8" formatCode="0.00">
                  <c:v>414.81481481481484</c:v>
                </c:pt>
                <c:pt idx="9" formatCode="0.00">
                  <c:v>44.444444444444443</c:v>
                </c:pt>
                <c:pt idx="10" formatCode="#,##0.00">
                  <c:v>752.8888888888888</c:v>
                </c:pt>
                <c:pt idx="11" formatCode="#,##0.00">
                  <c:v>8395.9345679012349</c:v>
                </c:pt>
                <c:pt idx="12" formatCode="#,##0.00">
                  <c:v>90.454047619047614</c:v>
                </c:pt>
                <c:pt idx="13" formatCode="#,##0.00">
                  <c:v>22.222222222222221</c:v>
                </c:pt>
                <c:pt idx="14" formatCode="0.00">
                  <c:v>2160.5</c:v>
                </c:pt>
              </c:numCache>
            </c:numRef>
          </c:val>
          <c:extLst>
            <c:ext xmlns:c16="http://schemas.microsoft.com/office/drawing/2014/chart" uri="{C3380CC4-5D6E-409C-BE32-E72D297353CC}">
              <c16:uniqueId val="{00000000-AEE3-7441-B4A7-1764EA65C881}"/>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8071589683340531"/>
          <c:y val="0.2937806043475335"/>
          <c:w val="0.18504274728850992"/>
          <c:h val="0.43461821118514038"/>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sv-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sv-FI"/>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fi-FI"/>
              <a:t>Kål kostnadsfördelning</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sv-FI"/>
        </a:p>
      </c:txPr>
    </c:title>
    <c:autoTitleDeleted val="0"/>
    <c:plotArea>
      <c:layout/>
      <c:pie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CA87-E84D-9C92-0FB16DDA8EF5}"/>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CA87-E84D-9C92-0FB16DDA8EF5}"/>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CA87-E84D-9C92-0FB16DDA8EF5}"/>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CA87-E84D-9C92-0FB16DDA8EF5}"/>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CA87-E84D-9C92-0FB16DDA8EF5}"/>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B-CA87-E84D-9C92-0FB16DDA8EF5}"/>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D-CA87-E84D-9C92-0FB16DDA8EF5}"/>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F-CA87-E84D-9C92-0FB16DDA8EF5}"/>
              </c:ext>
            </c:extLst>
          </c:dPt>
          <c:dPt>
            <c:idx val="8"/>
            <c:bubble3D val="0"/>
            <c:spPr>
              <a:solidFill>
                <a:schemeClr val="accent3">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1-CA87-E84D-9C92-0FB16DDA8EF5}"/>
              </c:ext>
            </c:extLst>
          </c:dPt>
          <c:dPt>
            <c:idx val="9"/>
            <c:bubble3D val="0"/>
            <c:spPr>
              <a:solidFill>
                <a:schemeClr val="accent4">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3-CA87-E84D-9C92-0FB16DDA8EF5}"/>
              </c:ext>
            </c:extLst>
          </c:dPt>
          <c:dPt>
            <c:idx val="10"/>
            <c:bubble3D val="0"/>
            <c:spPr>
              <a:solidFill>
                <a:schemeClr val="accent5">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5-CA87-E84D-9C92-0FB16DDA8EF5}"/>
              </c:ext>
            </c:extLst>
          </c:dPt>
          <c:dPt>
            <c:idx val="11"/>
            <c:bubble3D val="0"/>
            <c:spPr>
              <a:solidFill>
                <a:schemeClr val="accent6">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7-CA87-E84D-9C92-0FB16DDA8EF5}"/>
              </c:ext>
            </c:extLst>
          </c:dPt>
          <c:dPt>
            <c:idx val="12"/>
            <c:bubble3D val="0"/>
            <c:spPr>
              <a:solidFill>
                <a:schemeClr val="accent1">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9-CA87-E84D-9C92-0FB16DDA8EF5}"/>
              </c:ext>
            </c:extLst>
          </c:dPt>
          <c:dPt>
            <c:idx val="13"/>
            <c:bubble3D val="0"/>
            <c:spPr>
              <a:solidFill>
                <a:schemeClr val="accent2">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B-CA87-E84D-9C92-0FB16DDA8EF5}"/>
              </c:ext>
            </c:extLst>
          </c:dPt>
          <c:dPt>
            <c:idx val="14"/>
            <c:bubble3D val="0"/>
            <c:spPr>
              <a:solidFill>
                <a:schemeClr val="accent3">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D-DD89-41B3-BEA2-65165C7F6210}"/>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sv-FI"/>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Kål!$AB$25:$AB$39</c:f>
              <c:strCache>
                <c:ptCount val="15"/>
                <c:pt idx="0">
                  <c:v>Plantor</c:v>
                </c:pt>
                <c:pt idx="1">
                  <c:v>Gödsel och kalk</c:v>
                </c:pt>
                <c:pt idx="2">
                  <c:v>IPM Växtskydd</c:v>
                </c:pt>
                <c:pt idx="3">
                  <c:v>Packningsmaterial</c:v>
                </c:pt>
                <c:pt idx="4">
                  <c:v>Fraktkostnader</c:v>
                </c:pt>
                <c:pt idx="5">
                  <c:v>Maskinkostnader och entreprenad</c:v>
                </c:pt>
                <c:pt idx="6">
                  <c:v>Energikostnader</c:v>
                </c:pt>
                <c:pt idx="7">
                  <c:v>Anställd arbetskraft</c:v>
                </c:pt>
                <c:pt idx="8">
                  <c:v>Allmänna kostnader</c:v>
                </c:pt>
                <c:pt idx="9">
                  <c:v>Åkerns arrende</c:v>
                </c:pt>
                <c:pt idx="10">
                  <c:v>Byggnader</c:v>
                </c:pt>
                <c:pt idx="11">
                  <c:v>Maskiner och utrustning</c:v>
                </c:pt>
                <c:pt idx="12">
                  <c:v>Långvariga produktionsmedel</c:v>
                </c:pt>
                <c:pt idx="13">
                  <c:v>Täckdiken</c:v>
                </c:pt>
                <c:pt idx="14">
                  <c:v>Eget arbete</c:v>
                </c:pt>
              </c:strCache>
            </c:strRef>
          </c:cat>
          <c:val>
            <c:numRef>
              <c:f>Kål!$AC$25:$AC$39</c:f>
              <c:numCache>
                <c:formatCode>0</c:formatCode>
                <c:ptCount val="15"/>
                <c:pt idx="0">
                  <c:v>1350</c:v>
                </c:pt>
                <c:pt idx="1">
                  <c:v>1720</c:v>
                </c:pt>
                <c:pt idx="2">
                  <c:v>55.92</c:v>
                </c:pt>
                <c:pt idx="3">
                  <c:v>2750</c:v>
                </c:pt>
                <c:pt idx="4">
                  <c:v>990</c:v>
                </c:pt>
                <c:pt idx="5">
                  <c:v>0</c:v>
                </c:pt>
                <c:pt idx="6">
                  <c:v>2406.6</c:v>
                </c:pt>
                <c:pt idx="7">
                  <c:v>1015</c:v>
                </c:pt>
                <c:pt idx="8" formatCode="0.00">
                  <c:v>414.81481481481484</c:v>
                </c:pt>
                <c:pt idx="9" formatCode="0.00">
                  <c:v>44.444444444444443</c:v>
                </c:pt>
                <c:pt idx="10" formatCode="#,##0.00">
                  <c:v>752.8888888888888</c:v>
                </c:pt>
                <c:pt idx="11" formatCode="#,##0.00">
                  <c:v>3449.2679012345675</c:v>
                </c:pt>
                <c:pt idx="12" formatCode="#,##0.00">
                  <c:v>90.454047619047614</c:v>
                </c:pt>
                <c:pt idx="13" formatCode="#,##0.00">
                  <c:v>22.222222222222221</c:v>
                </c:pt>
                <c:pt idx="14" formatCode="0.00">
                  <c:v>2088</c:v>
                </c:pt>
              </c:numCache>
            </c:numRef>
          </c:val>
          <c:extLst>
            <c:ext xmlns:c16="http://schemas.microsoft.com/office/drawing/2014/chart" uri="{C3380CC4-5D6E-409C-BE32-E72D297353CC}">
              <c16:uniqueId val="{00000000-C3C7-7641-BD87-84CAAD4BC065}"/>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sv-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sv-FI"/>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fi-FI"/>
              <a:t>Lök kostnadsfördelning</a:t>
            </a:r>
          </a:p>
        </c:rich>
      </c:tx>
      <c:layout>
        <c:manualLayout>
          <c:xMode val="edge"/>
          <c:yMode val="edge"/>
          <c:x val="0.33540900693701325"/>
          <c:y val="1.1834319526627219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sv-FI"/>
        </a:p>
      </c:txPr>
    </c:title>
    <c:autoTitleDeleted val="0"/>
    <c:plotArea>
      <c:layout/>
      <c:pie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6258-B04B-B2F8-2E8E6A1FA460}"/>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6258-B04B-B2F8-2E8E6A1FA460}"/>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6258-B04B-B2F8-2E8E6A1FA460}"/>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6258-B04B-B2F8-2E8E6A1FA460}"/>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6258-B04B-B2F8-2E8E6A1FA460}"/>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B-6258-B04B-B2F8-2E8E6A1FA460}"/>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D-6258-B04B-B2F8-2E8E6A1FA460}"/>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F-6258-B04B-B2F8-2E8E6A1FA460}"/>
              </c:ext>
            </c:extLst>
          </c:dPt>
          <c:dPt>
            <c:idx val="8"/>
            <c:bubble3D val="0"/>
            <c:spPr>
              <a:solidFill>
                <a:schemeClr val="accent3">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1-6258-B04B-B2F8-2E8E6A1FA460}"/>
              </c:ext>
            </c:extLst>
          </c:dPt>
          <c:dPt>
            <c:idx val="9"/>
            <c:bubble3D val="0"/>
            <c:spPr>
              <a:solidFill>
                <a:schemeClr val="accent4">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3-6258-B04B-B2F8-2E8E6A1FA460}"/>
              </c:ext>
            </c:extLst>
          </c:dPt>
          <c:dPt>
            <c:idx val="10"/>
            <c:bubble3D val="0"/>
            <c:spPr>
              <a:solidFill>
                <a:schemeClr val="accent5">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5-6258-B04B-B2F8-2E8E6A1FA460}"/>
              </c:ext>
            </c:extLst>
          </c:dPt>
          <c:dPt>
            <c:idx val="11"/>
            <c:bubble3D val="0"/>
            <c:spPr>
              <a:solidFill>
                <a:schemeClr val="accent6">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7-6258-B04B-B2F8-2E8E6A1FA460}"/>
              </c:ext>
            </c:extLst>
          </c:dPt>
          <c:dPt>
            <c:idx val="12"/>
            <c:bubble3D val="0"/>
            <c:spPr>
              <a:solidFill>
                <a:schemeClr val="accent1">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9-6258-B04B-B2F8-2E8E6A1FA460}"/>
              </c:ext>
            </c:extLst>
          </c:dPt>
          <c:dPt>
            <c:idx val="13"/>
            <c:bubble3D val="0"/>
            <c:spPr>
              <a:solidFill>
                <a:schemeClr val="accent2">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B-6258-B04B-B2F8-2E8E6A1FA460}"/>
              </c:ext>
            </c:extLst>
          </c:dPt>
          <c:dPt>
            <c:idx val="14"/>
            <c:bubble3D val="0"/>
            <c:spPr>
              <a:solidFill>
                <a:schemeClr val="accent3">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D-9854-4ECE-95D1-D0C876C46F5F}"/>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sv-FI"/>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Lök!$AB$25:$AB$39</c:f>
              <c:strCache>
                <c:ptCount val="15"/>
                <c:pt idx="0">
                  <c:v>Sättlök</c:v>
                </c:pt>
                <c:pt idx="1">
                  <c:v>Gödsel och kalk</c:v>
                </c:pt>
                <c:pt idx="2">
                  <c:v>IPM Växtskydd</c:v>
                </c:pt>
                <c:pt idx="3">
                  <c:v>Packningsmaterial</c:v>
                </c:pt>
                <c:pt idx="4">
                  <c:v>Fraktkostnader</c:v>
                </c:pt>
                <c:pt idx="5">
                  <c:v>Maskinkostnader och entreprenad</c:v>
                </c:pt>
                <c:pt idx="6">
                  <c:v>Energikostnader</c:v>
                </c:pt>
                <c:pt idx="7">
                  <c:v>Anställd arbetskraft</c:v>
                </c:pt>
                <c:pt idx="8">
                  <c:v>Allmänna kostnader</c:v>
                </c:pt>
                <c:pt idx="9">
                  <c:v>Åkerarrende</c:v>
                </c:pt>
                <c:pt idx="10">
                  <c:v>Byggnader</c:v>
                </c:pt>
                <c:pt idx="11">
                  <c:v>Maskiner och utrustning</c:v>
                </c:pt>
                <c:pt idx="12">
                  <c:v>Långvariga produktionsmedel</c:v>
                </c:pt>
                <c:pt idx="13">
                  <c:v>Täckdiken</c:v>
                </c:pt>
                <c:pt idx="14">
                  <c:v>Eget arbete</c:v>
                </c:pt>
              </c:strCache>
            </c:strRef>
          </c:cat>
          <c:val>
            <c:numRef>
              <c:f>Lök!$AC$25:$AC$39</c:f>
              <c:numCache>
                <c:formatCode>0</c:formatCode>
                <c:ptCount val="15"/>
                <c:pt idx="0">
                  <c:v>1430.0000000000002</c:v>
                </c:pt>
                <c:pt idx="1">
                  <c:v>1288</c:v>
                </c:pt>
                <c:pt idx="2">
                  <c:v>238.39349999999999</c:v>
                </c:pt>
                <c:pt idx="3">
                  <c:v>1200</c:v>
                </c:pt>
                <c:pt idx="4">
                  <c:v>640</c:v>
                </c:pt>
                <c:pt idx="5">
                  <c:v>0</c:v>
                </c:pt>
                <c:pt idx="6">
                  <c:v>2250.56</c:v>
                </c:pt>
                <c:pt idx="7">
                  <c:v>783</c:v>
                </c:pt>
                <c:pt idx="8" formatCode="0.00">
                  <c:v>414.81481481481484</c:v>
                </c:pt>
                <c:pt idx="9" formatCode="0.00">
                  <c:v>44.444444444444443</c:v>
                </c:pt>
                <c:pt idx="10" formatCode="#,##0.00">
                  <c:v>752.8888888888888</c:v>
                </c:pt>
                <c:pt idx="11" formatCode="#,##0.00">
                  <c:v>7777.6012345679019</c:v>
                </c:pt>
                <c:pt idx="12" formatCode="#,##0.00">
                  <c:v>90.454047619047614</c:v>
                </c:pt>
                <c:pt idx="13" formatCode="#,##0.00">
                  <c:v>22.222222222222221</c:v>
                </c:pt>
                <c:pt idx="14" formatCode="0.00">
                  <c:v>1406.5</c:v>
                </c:pt>
              </c:numCache>
            </c:numRef>
          </c:val>
          <c:extLst>
            <c:ext xmlns:c16="http://schemas.microsoft.com/office/drawing/2014/chart" uri="{C3380CC4-5D6E-409C-BE32-E72D297353CC}">
              <c16:uniqueId val="{00000000-E597-1142-BB7F-6246014F09EF}"/>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sv-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sv-FI"/>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fi-FI"/>
              <a:t>Trädgårdsärt kostnadsfördelning</a:t>
            </a:r>
          </a:p>
        </c:rich>
      </c:tx>
      <c:layout>
        <c:manualLayout>
          <c:xMode val="edge"/>
          <c:yMode val="edge"/>
          <c:x val="0.30559936908517349"/>
          <c:y val="1.2093987560469938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sv-FI"/>
        </a:p>
      </c:txPr>
    </c:title>
    <c:autoTitleDeleted val="0"/>
    <c:plotArea>
      <c:layout/>
      <c:pie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8605-1049-AD38-69116876FD56}"/>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8605-1049-AD38-69116876FD56}"/>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8605-1049-AD38-69116876FD56}"/>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8605-1049-AD38-69116876FD56}"/>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8605-1049-AD38-69116876FD56}"/>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B-8605-1049-AD38-69116876FD56}"/>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D-8605-1049-AD38-69116876FD56}"/>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F-8605-1049-AD38-69116876FD56}"/>
              </c:ext>
            </c:extLst>
          </c:dPt>
          <c:dPt>
            <c:idx val="8"/>
            <c:bubble3D val="0"/>
            <c:spPr>
              <a:solidFill>
                <a:schemeClr val="accent3">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1-8605-1049-AD38-69116876FD56}"/>
              </c:ext>
            </c:extLst>
          </c:dPt>
          <c:dPt>
            <c:idx val="9"/>
            <c:bubble3D val="0"/>
            <c:spPr>
              <a:solidFill>
                <a:schemeClr val="accent4">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3-8605-1049-AD38-69116876FD56}"/>
              </c:ext>
            </c:extLst>
          </c:dPt>
          <c:dPt>
            <c:idx val="10"/>
            <c:bubble3D val="0"/>
            <c:spPr>
              <a:solidFill>
                <a:schemeClr val="accent5">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5-8605-1049-AD38-69116876FD56}"/>
              </c:ext>
            </c:extLst>
          </c:dPt>
          <c:dPt>
            <c:idx val="11"/>
            <c:bubble3D val="0"/>
            <c:spPr>
              <a:solidFill>
                <a:schemeClr val="accent6">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7-8605-1049-AD38-69116876FD56}"/>
              </c:ext>
            </c:extLst>
          </c:dPt>
          <c:dPt>
            <c:idx val="12"/>
            <c:bubble3D val="0"/>
            <c:spPr>
              <a:solidFill>
                <a:schemeClr val="accent1">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9-8605-1049-AD38-69116876FD56}"/>
              </c:ext>
            </c:extLst>
          </c:dPt>
          <c:dPt>
            <c:idx val="13"/>
            <c:bubble3D val="0"/>
            <c:spPr>
              <a:solidFill>
                <a:schemeClr val="accent2">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B-8605-1049-AD38-69116876FD56}"/>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sv-FI"/>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Morot!$AB$26:$AB$39</c:f>
              <c:strCache>
                <c:ptCount val="14"/>
                <c:pt idx="0">
                  <c:v>Gödsel och kalk</c:v>
                </c:pt>
                <c:pt idx="1">
                  <c:v>IPM Växtskydd</c:v>
                </c:pt>
                <c:pt idx="2">
                  <c:v>Packningsmaterial</c:v>
                </c:pt>
                <c:pt idx="3">
                  <c:v>Fraktkostnader</c:v>
                </c:pt>
                <c:pt idx="4">
                  <c:v>Maskinkostnader och entreprenad</c:v>
                </c:pt>
                <c:pt idx="5">
                  <c:v>Energikostnader</c:v>
                </c:pt>
                <c:pt idx="6">
                  <c:v>Anställd arbetskraft</c:v>
                </c:pt>
                <c:pt idx="7">
                  <c:v>Allmänna kostnader</c:v>
                </c:pt>
                <c:pt idx="8">
                  <c:v>Åker arrende</c:v>
                </c:pt>
                <c:pt idx="9">
                  <c:v>Byggnader</c:v>
                </c:pt>
                <c:pt idx="10">
                  <c:v>Maskiner och utrustning</c:v>
                </c:pt>
                <c:pt idx="11">
                  <c:v>Långvariga produktionsmedel</c:v>
                </c:pt>
                <c:pt idx="12">
                  <c:v>Täckdiken</c:v>
                </c:pt>
                <c:pt idx="13">
                  <c:v>Eget arbete</c:v>
                </c:pt>
              </c:strCache>
            </c:strRef>
          </c:cat>
          <c:val>
            <c:numRef>
              <c:f>Morot!$AC$26:$AC$39</c:f>
              <c:numCache>
                <c:formatCode>0</c:formatCode>
                <c:ptCount val="14"/>
                <c:pt idx="0">
                  <c:v>1292</c:v>
                </c:pt>
                <c:pt idx="1">
                  <c:v>213.64800000000002</c:v>
                </c:pt>
                <c:pt idx="2">
                  <c:v>780</c:v>
                </c:pt>
                <c:pt idx="3">
                  <c:v>122</c:v>
                </c:pt>
                <c:pt idx="4">
                  <c:v>0</c:v>
                </c:pt>
                <c:pt idx="5">
                  <c:v>2423.1999999999998</c:v>
                </c:pt>
                <c:pt idx="6">
                  <c:v>870</c:v>
                </c:pt>
                <c:pt idx="7" formatCode="0.00">
                  <c:v>414.81481481481484</c:v>
                </c:pt>
                <c:pt idx="8" formatCode="0.00">
                  <c:v>44.444444444444443</c:v>
                </c:pt>
                <c:pt idx="9" formatCode="#,##0.00">
                  <c:v>752.8888888888888</c:v>
                </c:pt>
                <c:pt idx="10" formatCode="#,##0.00">
                  <c:v>8395.9345679012349</c:v>
                </c:pt>
                <c:pt idx="11" formatCode="#,##0.00">
                  <c:v>90.454047619047614</c:v>
                </c:pt>
                <c:pt idx="12" formatCode="#,##0.00">
                  <c:v>22.222222222222221</c:v>
                </c:pt>
                <c:pt idx="13" formatCode="0.00">
                  <c:v>2160.5</c:v>
                </c:pt>
              </c:numCache>
            </c:numRef>
          </c:val>
          <c:extLst>
            <c:ext xmlns:c16="http://schemas.microsoft.com/office/drawing/2014/chart" uri="{C3380CC4-5D6E-409C-BE32-E72D297353CC}">
              <c16:uniqueId val="{0000001C-8605-1049-AD38-69116876FD56}"/>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sv-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sv-FI"/>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fi-FI"/>
              <a:t>Grönsak kostnadsfördelning</a:t>
            </a:r>
          </a:p>
        </c:rich>
      </c:tx>
      <c:layout>
        <c:manualLayout>
          <c:xMode val="edge"/>
          <c:yMode val="edge"/>
          <c:x val="0.30559936908517349"/>
          <c:y val="1.2093987560469938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sv-FI"/>
        </a:p>
      </c:txPr>
    </c:title>
    <c:autoTitleDeleted val="0"/>
    <c:plotArea>
      <c:layout/>
      <c:pie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BB4B-3C49-B157-50F203E79DF2}"/>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BB4B-3C49-B157-50F203E79DF2}"/>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BB4B-3C49-B157-50F203E79DF2}"/>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BB4B-3C49-B157-50F203E79DF2}"/>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BB4B-3C49-B157-50F203E79DF2}"/>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B-BB4B-3C49-B157-50F203E79DF2}"/>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D-BB4B-3C49-B157-50F203E79DF2}"/>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F-BB4B-3C49-B157-50F203E79DF2}"/>
              </c:ext>
            </c:extLst>
          </c:dPt>
          <c:dPt>
            <c:idx val="8"/>
            <c:bubble3D val="0"/>
            <c:spPr>
              <a:solidFill>
                <a:schemeClr val="accent3">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1-BB4B-3C49-B157-50F203E79DF2}"/>
              </c:ext>
            </c:extLst>
          </c:dPt>
          <c:dPt>
            <c:idx val="9"/>
            <c:bubble3D val="0"/>
            <c:spPr>
              <a:solidFill>
                <a:schemeClr val="accent4">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3-BB4B-3C49-B157-50F203E79DF2}"/>
              </c:ext>
            </c:extLst>
          </c:dPt>
          <c:dPt>
            <c:idx val="10"/>
            <c:bubble3D val="0"/>
            <c:spPr>
              <a:solidFill>
                <a:schemeClr val="accent5">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5-BB4B-3C49-B157-50F203E79DF2}"/>
              </c:ext>
            </c:extLst>
          </c:dPt>
          <c:dPt>
            <c:idx val="11"/>
            <c:bubble3D val="0"/>
            <c:spPr>
              <a:solidFill>
                <a:schemeClr val="accent6">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7-BB4B-3C49-B157-50F203E79DF2}"/>
              </c:ext>
            </c:extLst>
          </c:dPt>
          <c:dPt>
            <c:idx val="12"/>
            <c:bubble3D val="0"/>
            <c:spPr>
              <a:solidFill>
                <a:schemeClr val="accent1">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9-BB4B-3C49-B157-50F203E79DF2}"/>
              </c:ext>
            </c:extLst>
          </c:dPt>
          <c:dPt>
            <c:idx val="13"/>
            <c:bubble3D val="0"/>
            <c:spPr>
              <a:solidFill>
                <a:schemeClr val="accent2">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B-BB4B-3C49-B157-50F203E79DF2}"/>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sv-FI"/>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Morot!$AB$26:$AB$39</c:f>
              <c:strCache>
                <c:ptCount val="14"/>
                <c:pt idx="0">
                  <c:v>Gödsel och kalk</c:v>
                </c:pt>
                <c:pt idx="1">
                  <c:v>IPM Växtskydd</c:v>
                </c:pt>
                <c:pt idx="2">
                  <c:v>Packningsmaterial</c:v>
                </c:pt>
                <c:pt idx="3">
                  <c:v>Fraktkostnader</c:v>
                </c:pt>
                <c:pt idx="4">
                  <c:v>Maskinkostnader och entreprenad</c:v>
                </c:pt>
                <c:pt idx="5">
                  <c:v>Energikostnader</c:v>
                </c:pt>
                <c:pt idx="6">
                  <c:v>Anställd arbetskraft</c:v>
                </c:pt>
                <c:pt idx="7">
                  <c:v>Allmänna kostnader</c:v>
                </c:pt>
                <c:pt idx="8">
                  <c:v>Åker arrende</c:v>
                </c:pt>
                <c:pt idx="9">
                  <c:v>Byggnader</c:v>
                </c:pt>
                <c:pt idx="10">
                  <c:v>Maskiner och utrustning</c:v>
                </c:pt>
                <c:pt idx="11">
                  <c:v>Långvariga produktionsmedel</c:v>
                </c:pt>
                <c:pt idx="12">
                  <c:v>Täckdiken</c:v>
                </c:pt>
                <c:pt idx="13">
                  <c:v>Eget arbete</c:v>
                </c:pt>
              </c:strCache>
            </c:strRef>
          </c:cat>
          <c:val>
            <c:numRef>
              <c:f>Morot!$AC$26:$AC$39</c:f>
              <c:numCache>
                <c:formatCode>0</c:formatCode>
                <c:ptCount val="14"/>
                <c:pt idx="0">
                  <c:v>1292</c:v>
                </c:pt>
                <c:pt idx="1">
                  <c:v>213.64800000000002</c:v>
                </c:pt>
                <c:pt idx="2">
                  <c:v>780</c:v>
                </c:pt>
                <c:pt idx="3">
                  <c:v>122</c:v>
                </c:pt>
                <c:pt idx="4">
                  <c:v>0</c:v>
                </c:pt>
                <c:pt idx="5">
                  <c:v>2423.1999999999998</c:v>
                </c:pt>
                <c:pt idx="6">
                  <c:v>870</c:v>
                </c:pt>
                <c:pt idx="7" formatCode="0.00">
                  <c:v>414.81481481481484</c:v>
                </c:pt>
                <c:pt idx="8" formatCode="0.00">
                  <c:v>44.444444444444443</c:v>
                </c:pt>
                <c:pt idx="9" formatCode="#,##0.00">
                  <c:v>752.8888888888888</c:v>
                </c:pt>
                <c:pt idx="10" formatCode="#,##0.00">
                  <c:v>8395.9345679012349</c:v>
                </c:pt>
                <c:pt idx="11" formatCode="#,##0.00">
                  <c:v>90.454047619047614</c:v>
                </c:pt>
                <c:pt idx="12" formatCode="#,##0.00">
                  <c:v>22.222222222222221</c:v>
                </c:pt>
                <c:pt idx="13" formatCode="0.00">
                  <c:v>2160.5</c:v>
                </c:pt>
              </c:numCache>
            </c:numRef>
          </c:val>
          <c:extLst>
            <c:ext xmlns:c16="http://schemas.microsoft.com/office/drawing/2014/chart" uri="{C3380CC4-5D6E-409C-BE32-E72D297353CC}">
              <c16:uniqueId val="{0000001C-BB4B-3C49-B157-50F203E79DF2}"/>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sv-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sv-FI"/>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2.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6.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Tilan tiedot'!A1"/></Relationships>
</file>

<file path=xl/drawings/_rels/drawing10.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4.xml.rels><?xml version="1.0" encoding="UTF-8" standalone="yes"?>
<Relationships xmlns="http://schemas.openxmlformats.org/package/2006/relationships"><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1" Type="http://schemas.openxmlformats.org/officeDocument/2006/relationships/chart" Target="../charts/chart8.xml"/></Relationships>
</file>

<file path=xl/drawings/_rels/drawing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xdr:from>
      <xdr:col>0</xdr:col>
      <xdr:colOff>63500</xdr:colOff>
      <xdr:row>65</xdr:row>
      <xdr:rowOff>25400</xdr:rowOff>
    </xdr:from>
    <xdr:to>
      <xdr:col>12</xdr:col>
      <xdr:colOff>38100</xdr:colOff>
      <xdr:row>78</xdr:row>
      <xdr:rowOff>114300</xdr:rowOff>
    </xdr:to>
    <xdr:sp macro="" textlink="">
      <xdr:nvSpPr>
        <xdr:cNvPr id="16" name="Tekstiruutu 15">
          <a:extLst>
            <a:ext uri="{FF2B5EF4-FFF2-40B4-BE49-F238E27FC236}">
              <a16:creationId xmlns:a16="http://schemas.microsoft.com/office/drawing/2014/main" id="{4E432A08-61AB-934E-9E03-12446A9C79AE}"/>
            </a:ext>
          </a:extLst>
        </xdr:cNvPr>
        <xdr:cNvSpPr txBox="1"/>
      </xdr:nvSpPr>
      <xdr:spPr>
        <a:xfrm>
          <a:off x="63500" y="10756900"/>
          <a:ext cx="9880600" cy="2235200"/>
        </a:xfrm>
        <a:prstGeom prst="rect">
          <a:avLst/>
        </a:prstGeom>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t"/>
        <a:lstStyle/>
        <a:p>
          <a:endParaRPr lang="fi-FI" sz="1800"/>
        </a:p>
        <a:p>
          <a:r>
            <a:rPr lang="fi-FI" sz="1800"/>
            <a:t>Uppdateringarna</a:t>
          </a:r>
          <a:r>
            <a:rPr lang="fi-FI" sz="1800" baseline="0"/>
            <a:t> och förnyandet har finansierats av Maiju ja Yrjö Rikalas trädgårdsstiftelse</a:t>
          </a:r>
        </a:p>
        <a:p>
          <a:endParaRPr lang="fi-FI" sz="1800" baseline="0"/>
        </a:p>
        <a:p>
          <a:endParaRPr lang="fi-FI" sz="1800"/>
        </a:p>
        <a:p>
          <a:pPr marL="0" marR="0" indent="0" defTabSz="914400" eaLnBrk="1" fontAlgn="auto" latinLnBrk="0" hangingPunct="1">
            <a:lnSpc>
              <a:spcPct val="100000"/>
            </a:lnSpc>
            <a:spcBef>
              <a:spcPts val="0"/>
            </a:spcBef>
            <a:spcAft>
              <a:spcPts val="0"/>
            </a:spcAft>
            <a:buClrTx/>
            <a:buSzTx/>
            <a:buFontTx/>
            <a:buNone/>
            <a:tabLst/>
            <a:defRPr/>
          </a:pPr>
          <a:r>
            <a:rPr lang="fi-FI" sz="1800"/>
            <a:t>Givande kalkyleringsstuder önskar An</a:t>
          </a:r>
          <a:r>
            <a:rPr lang="fi-FI" sz="1800" baseline="0"/>
            <a:t>u Koivisto (Tmi Anu Koivisto) och Nina Sevelius (Svenska </a:t>
          </a:r>
          <a:r>
            <a:rPr lang="fi-FI" sz="1800">
              <a:effectLst/>
              <a:latin typeface="Calibri" panose="020F0502020204030204" pitchFamily="34" charset="0"/>
              <a:ea typeface="Calibri" panose="020F0502020204030204" pitchFamily="34" charset="0"/>
              <a:cs typeface="Times New Roman" panose="02020603050405020304" pitchFamily="18" charset="0"/>
            </a:rPr>
            <a:t>lantbrukssällskapens förbund, SLF)</a:t>
          </a:r>
          <a:r>
            <a:rPr lang="fi-FI" sz="1800">
              <a:effectLst/>
            </a:rPr>
            <a:t> </a:t>
          </a:r>
          <a:endParaRPr lang="fi-FI" sz="1800" baseline="0"/>
        </a:p>
        <a:p>
          <a:endParaRPr lang="fi-FI" sz="1800"/>
        </a:p>
      </xdr:txBody>
    </xdr:sp>
    <xdr:clientData/>
  </xdr:twoCellAnchor>
  <xdr:twoCellAnchor>
    <xdr:from>
      <xdr:col>0</xdr:col>
      <xdr:colOff>0</xdr:colOff>
      <xdr:row>0</xdr:row>
      <xdr:rowOff>0</xdr:rowOff>
    </xdr:from>
    <xdr:to>
      <xdr:col>12</xdr:col>
      <xdr:colOff>0</xdr:colOff>
      <xdr:row>59</xdr:row>
      <xdr:rowOff>139700</xdr:rowOff>
    </xdr:to>
    <xdr:grpSp>
      <xdr:nvGrpSpPr>
        <xdr:cNvPr id="3" name="Grupp 2">
          <a:extLst>
            <a:ext uri="{FF2B5EF4-FFF2-40B4-BE49-F238E27FC236}">
              <a16:creationId xmlns:a16="http://schemas.microsoft.com/office/drawing/2014/main" id="{5407136B-758B-6F91-EBB7-5CB96572B1CB}"/>
            </a:ext>
          </a:extLst>
        </xdr:cNvPr>
        <xdr:cNvGrpSpPr/>
      </xdr:nvGrpSpPr>
      <xdr:grpSpPr>
        <a:xfrm>
          <a:off x="0" y="0"/>
          <a:ext cx="9372600" cy="10255250"/>
          <a:chOff x="0" y="0"/>
          <a:chExt cx="9418320" cy="10030460"/>
        </a:xfrm>
      </xdr:grpSpPr>
      <xdr:pic>
        <xdr:nvPicPr>
          <xdr:cNvPr id="15" name="Kuva 14">
            <a:hlinkClick xmlns:r="http://schemas.openxmlformats.org/officeDocument/2006/relationships" r:id="rId1"/>
            <a:extLst>
              <a:ext uri="{FF2B5EF4-FFF2-40B4-BE49-F238E27FC236}">
                <a16:creationId xmlns:a16="http://schemas.microsoft.com/office/drawing/2014/main" id="{8FF40CE2-03F8-A64F-AD3F-FC4B21EF161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9418320" cy="10030460"/>
          </a:xfrm>
          <a:prstGeom prst="rect">
            <a:avLst/>
          </a:prstGeom>
        </xdr:spPr>
      </xdr:pic>
      <xdr:sp macro="" textlink="">
        <xdr:nvSpPr>
          <xdr:cNvPr id="2" name="Rektangel: rundade hörn 1">
            <a:extLst>
              <a:ext uri="{FF2B5EF4-FFF2-40B4-BE49-F238E27FC236}">
                <a16:creationId xmlns:a16="http://schemas.microsoft.com/office/drawing/2014/main" id="{C167A08A-DFE7-769F-F462-2A0EF47A3C19}"/>
              </a:ext>
            </a:extLst>
          </xdr:cNvPr>
          <xdr:cNvSpPr/>
        </xdr:nvSpPr>
        <xdr:spPr>
          <a:xfrm>
            <a:off x="2903220" y="2712720"/>
            <a:ext cx="3882947" cy="4259580"/>
          </a:xfrm>
          <a:prstGeom prst="roundRect">
            <a:avLst/>
          </a:prstGeom>
          <a:solidFill>
            <a:schemeClr val="accent1">
              <a:lumMod val="40000"/>
              <a:lumOff val="60000"/>
            </a:schemeClr>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sv-FI" sz="2800">
              <a:solidFill>
                <a:schemeClr val="tx1"/>
              </a:solidFill>
              <a:latin typeface="Franklin Gothic Book" panose="020B0503020102020204" pitchFamily="34" charset="0"/>
            </a:endParaRPr>
          </a:p>
          <a:p>
            <a:pPr algn="ctr"/>
            <a:r>
              <a:rPr lang="sv-FI" sz="2800">
                <a:solidFill>
                  <a:schemeClr val="tx1"/>
                </a:solidFill>
                <a:latin typeface="Franklin Gothic Book" panose="020B0503020102020204" pitchFamily="34" charset="0"/>
              </a:rPr>
              <a:t>Produktionskostnads-</a:t>
            </a:r>
            <a:r>
              <a:rPr lang="sv-FI" sz="2800" baseline="0">
                <a:solidFill>
                  <a:schemeClr val="tx1"/>
                </a:solidFill>
                <a:latin typeface="Franklin Gothic Book" panose="020B0503020102020204" pitchFamily="34" charset="0"/>
              </a:rPr>
              <a:t> och lönsamhetskalkyler för trädgårdsproduktion</a:t>
            </a:r>
          </a:p>
          <a:p>
            <a:pPr algn="ctr"/>
            <a:endParaRPr lang="sv-FI" sz="2800" baseline="0">
              <a:solidFill>
                <a:schemeClr val="tx1"/>
              </a:solidFill>
              <a:latin typeface="Franklin Gothic Book" panose="020B0503020102020204" pitchFamily="34" charset="0"/>
            </a:endParaRPr>
          </a:p>
          <a:p>
            <a:pPr algn="l"/>
            <a:endParaRPr lang="sv-FI" sz="1100" baseline="0">
              <a:solidFill>
                <a:schemeClr val="tx1"/>
              </a:solidFill>
              <a:latin typeface="Franklin Gothic Book" panose="020B0503020102020204" pitchFamily="34" charset="0"/>
            </a:endParaRPr>
          </a:p>
          <a:p>
            <a:pPr algn="l"/>
            <a:endParaRPr lang="sv-FI" sz="1100" baseline="0">
              <a:solidFill>
                <a:schemeClr val="tx1"/>
              </a:solidFill>
              <a:latin typeface="Franklin Gothic Book" panose="020B0503020102020204" pitchFamily="34" charset="0"/>
            </a:endParaRPr>
          </a:p>
          <a:p>
            <a:pPr algn="l"/>
            <a:endParaRPr lang="sv-FI" sz="1100" baseline="0">
              <a:solidFill>
                <a:schemeClr val="tx1"/>
              </a:solidFill>
              <a:latin typeface="Franklin Gothic Book" panose="020B0503020102020204" pitchFamily="34" charset="0"/>
            </a:endParaRPr>
          </a:p>
          <a:p>
            <a:pPr algn="l"/>
            <a:endParaRPr lang="sv-FI" sz="1100" baseline="0">
              <a:solidFill>
                <a:schemeClr val="tx1"/>
              </a:solidFill>
              <a:latin typeface="Franklin Gothic Book" panose="020B0503020102020204" pitchFamily="34" charset="0"/>
            </a:endParaRPr>
          </a:p>
          <a:p>
            <a:pPr algn="ctr"/>
            <a:r>
              <a:rPr lang="sv-FI" sz="1100" baseline="0">
                <a:solidFill>
                  <a:schemeClr val="tx1"/>
                </a:solidFill>
                <a:latin typeface="Franklin Gothic Book" panose="020B0503020102020204" pitchFamily="34" charset="0"/>
                <a:cs typeface="Times New Roman" panose="02020603050405020304" pitchFamily="18" charset="0"/>
              </a:rPr>
              <a:t>©Anu Koivisto</a:t>
            </a:r>
            <a:endParaRPr lang="sv-FI" sz="1100" baseline="0">
              <a:solidFill>
                <a:schemeClr val="tx1"/>
              </a:solidFill>
              <a:latin typeface="Franklin Gothic Book" panose="020B0503020102020204" pitchFamily="34" charset="0"/>
            </a:endParaRPr>
          </a:p>
          <a:p>
            <a:pPr algn="l"/>
            <a:endParaRPr lang="sv-FI" sz="1100" baseline="0">
              <a:solidFill>
                <a:schemeClr val="tx1"/>
              </a:solidFill>
            </a:endParaRPr>
          </a:p>
          <a:p>
            <a:pPr algn="l"/>
            <a:endParaRPr lang="sv-FI" sz="1100" baseline="0">
              <a:solidFill>
                <a:schemeClr val="tx1"/>
              </a:solidFill>
            </a:endParaRPr>
          </a:p>
          <a:p>
            <a:pPr algn="l"/>
            <a:endParaRPr lang="sv-FI" sz="1100" baseline="0"/>
          </a:p>
          <a:p>
            <a:pPr algn="l"/>
            <a:endParaRPr lang="sv-FI" sz="1100" baseline="0"/>
          </a:p>
          <a:p>
            <a:pPr algn="l"/>
            <a:endParaRPr lang="sv-FI" sz="1100"/>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541020</xdr:colOff>
      <xdr:row>138</xdr:row>
      <xdr:rowOff>36811</xdr:rowOff>
    </xdr:from>
    <xdr:to>
      <xdr:col>4</xdr:col>
      <xdr:colOff>754637</xdr:colOff>
      <xdr:row>144</xdr:row>
      <xdr:rowOff>129540</xdr:rowOff>
    </xdr:to>
    <xdr:sp macro="" textlink="">
      <xdr:nvSpPr>
        <xdr:cNvPr id="2" name="Kuvatekstinuoli ylös 1">
          <a:extLst>
            <a:ext uri="{FF2B5EF4-FFF2-40B4-BE49-F238E27FC236}">
              <a16:creationId xmlns:a16="http://schemas.microsoft.com/office/drawing/2014/main" id="{6BB30C46-DE20-6B48-90B7-2D4CAFF86D48}"/>
            </a:ext>
          </a:extLst>
        </xdr:cNvPr>
        <xdr:cNvSpPr/>
      </xdr:nvSpPr>
      <xdr:spPr>
        <a:xfrm>
          <a:off x="2842260" y="30676831"/>
          <a:ext cx="1768097" cy="1129049"/>
        </a:xfrm>
        <a:prstGeom prst="upArrow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fi-FI" sz="1100">
              <a:solidFill>
                <a:schemeClr val="lt1"/>
              </a:solidFill>
              <a:effectLst/>
              <a:latin typeface="+mn-lt"/>
              <a:ea typeface="+mn-ea"/>
              <a:cs typeface="+mn-cs"/>
            </a:rPr>
            <a:t>Det här</a:t>
          </a:r>
          <a:r>
            <a:rPr lang="fi-FI" sz="1100" baseline="0">
              <a:solidFill>
                <a:schemeClr val="lt1"/>
              </a:solidFill>
              <a:effectLst/>
              <a:latin typeface="+mn-lt"/>
              <a:ea typeface="+mn-ea"/>
              <a:cs typeface="+mn-cs"/>
            </a:rPr>
            <a:t> uppskattningen kommer från odlarfamiljens arbetsinsats delat med 2. </a:t>
          </a:r>
          <a:endParaRPr lang="sv-FI">
            <a:effectLst/>
          </a:endParaRPr>
        </a:p>
      </xdr:txBody>
    </xdr:sp>
    <xdr:clientData/>
  </xdr:twoCellAnchor>
  <xdr:twoCellAnchor>
    <xdr:from>
      <xdr:col>13</xdr:col>
      <xdr:colOff>527050</xdr:colOff>
      <xdr:row>22</xdr:row>
      <xdr:rowOff>6350</xdr:rowOff>
    </xdr:from>
    <xdr:to>
      <xdr:col>26</xdr:col>
      <xdr:colOff>63500</xdr:colOff>
      <xdr:row>52</xdr:row>
      <xdr:rowOff>203200</xdr:rowOff>
    </xdr:to>
    <xdr:graphicFrame macro="">
      <xdr:nvGraphicFramePr>
        <xdr:cNvPr id="3" name="Kaavio 2">
          <a:extLst>
            <a:ext uri="{FF2B5EF4-FFF2-40B4-BE49-F238E27FC236}">
              <a16:creationId xmlns:a16="http://schemas.microsoft.com/office/drawing/2014/main" id="{F3980B6C-4901-2644-90B0-2E789C2983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101</xdr:row>
      <xdr:rowOff>152400</xdr:rowOff>
    </xdr:from>
    <xdr:to>
      <xdr:col>4</xdr:col>
      <xdr:colOff>482600</xdr:colOff>
      <xdr:row>109</xdr:row>
      <xdr:rowOff>63500</xdr:rowOff>
    </xdr:to>
    <xdr:sp macro="" textlink="">
      <xdr:nvSpPr>
        <xdr:cNvPr id="4" name="Kuvatekstinuoli alas 3">
          <a:extLst>
            <a:ext uri="{FF2B5EF4-FFF2-40B4-BE49-F238E27FC236}">
              <a16:creationId xmlns:a16="http://schemas.microsoft.com/office/drawing/2014/main" id="{7D7828A3-0996-D542-86CB-9F6256FF160E}"/>
            </a:ext>
          </a:extLst>
        </xdr:cNvPr>
        <xdr:cNvSpPr/>
      </xdr:nvSpPr>
      <xdr:spPr>
        <a:xfrm>
          <a:off x="2301240" y="24063960"/>
          <a:ext cx="2037080" cy="1313180"/>
        </a:xfrm>
        <a:prstGeom prst="downArrow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fi-FI" sz="1100">
              <a:solidFill>
                <a:schemeClr val="lt1"/>
              </a:solidFill>
              <a:effectLst/>
              <a:latin typeface="+mn-lt"/>
              <a:ea typeface="+mn-ea"/>
              <a:cs typeface="+mn-cs"/>
            </a:rPr>
            <a:t>Fyll</a:t>
          </a:r>
          <a:r>
            <a:rPr lang="fi-FI" sz="1100" baseline="0">
              <a:solidFill>
                <a:schemeClr val="lt1"/>
              </a:solidFill>
              <a:effectLst/>
              <a:latin typeface="+mn-lt"/>
              <a:ea typeface="+mn-ea"/>
              <a:cs typeface="+mn-cs"/>
            </a:rPr>
            <a:t> här förpackningens storlek i kilogram, endast en siffra, t.ex. 3, ifall det är fråga om en 3 kg påse</a:t>
          </a:r>
          <a:endParaRPr lang="sv-FI">
            <a:effectLst/>
          </a:endParaRPr>
        </a:p>
      </xdr:txBody>
    </xdr:sp>
    <xdr:clientData/>
  </xdr:twoCellAnchor>
  <xdr:twoCellAnchor>
    <xdr:from>
      <xdr:col>10</xdr:col>
      <xdr:colOff>571500</xdr:colOff>
      <xdr:row>106</xdr:row>
      <xdr:rowOff>88900</xdr:rowOff>
    </xdr:from>
    <xdr:to>
      <xdr:col>12</xdr:col>
      <xdr:colOff>482600</xdr:colOff>
      <xdr:row>114</xdr:row>
      <xdr:rowOff>83820</xdr:rowOff>
    </xdr:to>
    <xdr:sp macro="" textlink="">
      <xdr:nvSpPr>
        <xdr:cNvPr id="5" name="Kuvatekstinuoli vasemmalle 4">
          <a:extLst>
            <a:ext uri="{FF2B5EF4-FFF2-40B4-BE49-F238E27FC236}">
              <a16:creationId xmlns:a16="http://schemas.microsoft.com/office/drawing/2014/main" id="{9D13BAE3-906D-5D44-BE4B-9EEB6E8B1AE2}"/>
            </a:ext>
          </a:extLst>
        </xdr:cNvPr>
        <xdr:cNvSpPr/>
      </xdr:nvSpPr>
      <xdr:spPr>
        <a:xfrm>
          <a:off x="9342120" y="24876760"/>
          <a:ext cx="1945640" cy="1397000"/>
        </a:xfrm>
        <a:prstGeom prst="leftArrow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fi-FI" sz="1100">
              <a:solidFill>
                <a:schemeClr val="lt1"/>
              </a:solidFill>
              <a:effectLst/>
              <a:latin typeface="+mn-lt"/>
              <a:ea typeface="+mn-ea"/>
              <a:cs typeface="+mn-cs"/>
            </a:rPr>
            <a:t>Förpackningarnas antal är länkade till skördemängden och storleken på försäljningsförpackningarna.</a:t>
          </a:r>
          <a:endParaRPr lang="sv-FI">
            <a:effectLst/>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662940</xdr:colOff>
      <xdr:row>138</xdr:row>
      <xdr:rowOff>36811</xdr:rowOff>
    </xdr:from>
    <xdr:to>
      <xdr:col>4</xdr:col>
      <xdr:colOff>754637</xdr:colOff>
      <xdr:row>145</xdr:row>
      <xdr:rowOff>45720</xdr:rowOff>
    </xdr:to>
    <xdr:sp macro="" textlink="">
      <xdr:nvSpPr>
        <xdr:cNvPr id="2" name="Kuvatekstinuoli ylös 1">
          <a:extLst>
            <a:ext uri="{FF2B5EF4-FFF2-40B4-BE49-F238E27FC236}">
              <a16:creationId xmlns:a16="http://schemas.microsoft.com/office/drawing/2014/main" id="{7B3CCD06-2F2F-2A4F-AD20-64F9F74E50C8}"/>
            </a:ext>
          </a:extLst>
        </xdr:cNvPr>
        <xdr:cNvSpPr/>
      </xdr:nvSpPr>
      <xdr:spPr>
        <a:xfrm>
          <a:off x="2964180" y="30676831"/>
          <a:ext cx="1646177" cy="1212869"/>
        </a:xfrm>
        <a:prstGeom prst="upArrow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fi-FI" sz="1100">
              <a:solidFill>
                <a:schemeClr val="lt1"/>
              </a:solidFill>
              <a:effectLst/>
              <a:latin typeface="+mn-lt"/>
              <a:ea typeface="+mn-ea"/>
              <a:cs typeface="+mn-cs"/>
            </a:rPr>
            <a:t>Det här</a:t>
          </a:r>
          <a:r>
            <a:rPr lang="fi-FI" sz="1100" baseline="0">
              <a:solidFill>
                <a:schemeClr val="lt1"/>
              </a:solidFill>
              <a:effectLst/>
              <a:latin typeface="+mn-lt"/>
              <a:ea typeface="+mn-ea"/>
              <a:cs typeface="+mn-cs"/>
            </a:rPr>
            <a:t> uppskattningen kommer från odlarfamiljens arbetsinsats delat med 2. </a:t>
          </a:r>
          <a:endParaRPr lang="sv-FI">
            <a:effectLst/>
          </a:endParaRPr>
        </a:p>
        <a:p>
          <a:pPr algn="l"/>
          <a:r>
            <a:rPr lang="fi-FI" sz="1100" baseline="0"/>
            <a:t>.</a:t>
          </a:r>
          <a:endParaRPr lang="fi-FI" sz="1100"/>
        </a:p>
      </xdr:txBody>
    </xdr:sp>
    <xdr:clientData/>
  </xdr:twoCellAnchor>
  <xdr:twoCellAnchor>
    <xdr:from>
      <xdr:col>13</xdr:col>
      <xdr:colOff>527050</xdr:colOff>
      <xdr:row>22</xdr:row>
      <xdr:rowOff>6350</xdr:rowOff>
    </xdr:from>
    <xdr:to>
      <xdr:col>26</xdr:col>
      <xdr:colOff>63500</xdr:colOff>
      <xdr:row>52</xdr:row>
      <xdr:rowOff>203200</xdr:rowOff>
    </xdr:to>
    <xdr:graphicFrame macro="">
      <xdr:nvGraphicFramePr>
        <xdr:cNvPr id="3" name="Kaavio 2">
          <a:extLst>
            <a:ext uri="{FF2B5EF4-FFF2-40B4-BE49-F238E27FC236}">
              <a16:creationId xmlns:a16="http://schemas.microsoft.com/office/drawing/2014/main" id="{74C72004-F7DE-904F-952A-611F143984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76200</xdr:colOff>
      <xdr:row>102</xdr:row>
      <xdr:rowOff>38100</xdr:rowOff>
    </xdr:from>
    <xdr:to>
      <xdr:col>4</xdr:col>
      <xdr:colOff>558800</xdr:colOff>
      <xdr:row>109</xdr:row>
      <xdr:rowOff>76200</xdr:rowOff>
    </xdr:to>
    <xdr:sp macro="" textlink="">
      <xdr:nvSpPr>
        <xdr:cNvPr id="4" name="Kuvatekstinuoli alas 3">
          <a:extLst>
            <a:ext uri="{FF2B5EF4-FFF2-40B4-BE49-F238E27FC236}">
              <a16:creationId xmlns:a16="http://schemas.microsoft.com/office/drawing/2014/main" id="{945E7145-F070-C84F-9C52-B1207EA2EF89}"/>
            </a:ext>
          </a:extLst>
        </xdr:cNvPr>
        <xdr:cNvSpPr/>
      </xdr:nvSpPr>
      <xdr:spPr>
        <a:xfrm>
          <a:off x="2377440" y="24117300"/>
          <a:ext cx="2037080" cy="1272540"/>
        </a:xfrm>
        <a:prstGeom prst="downArrow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fi-FI" sz="1100">
              <a:solidFill>
                <a:schemeClr val="lt1"/>
              </a:solidFill>
              <a:effectLst/>
              <a:latin typeface="+mn-lt"/>
              <a:ea typeface="+mn-ea"/>
              <a:cs typeface="+mn-cs"/>
            </a:rPr>
            <a:t>Fyll</a:t>
          </a:r>
          <a:r>
            <a:rPr lang="fi-FI" sz="1100" baseline="0">
              <a:solidFill>
                <a:schemeClr val="lt1"/>
              </a:solidFill>
              <a:effectLst/>
              <a:latin typeface="+mn-lt"/>
              <a:ea typeface="+mn-ea"/>
              <a:cs typeface="+mn-cs"/>
            </a:rPr>
            <a:t> här förpackningens storlek i kilogram, endast en siffra, t.ex. 3, ifall det är fråga om en 3 kg påse</a:t>
          </a:r>
          <a:endParaRPr lang="sv-FI">
            <a:effectLst/>
          </a:endParaRPr>
        </a:p>
      </xdr:txBody>
    </xdr:sp>
    <xdr:clientData/>
  </xdr:twoCellAnchor>
  <xdr:twoCellAnchor>
    <xdr:from>
      <xdr:col>10</xdr:col>
      <xdr:colOff>482600</xdr:colOff>
      <xdr:row>107</xdr:row>
      <xdr:rowOff>0</xdr:rowOff>
    </xdr:from>
    <xdr:to>
      <xdr:col>12</xdr:col>
      <xdr:colOff>393700</xdr:colOff>
      <xdr:row>114</xdr:row>
      <xdr:rowOff>152400</xdr:rowOff>
    </xdr:to>
    <xdr:sp macro="" textlink="">
      <xdr:nvSpPr>
        <xdr:cNvPr id="5" name="Kuvatekstinuoli vasemmalle 4">
          <a:extLst>
            <a:ext uri="{FF2B5EF4-FFF2-40B4-BE49-F238E27FC236}">
              <a16:creationId xmlns:a16="http://schemas.microsoft.com/office/drawing/2014/main" id="{7B2D74D6-9411-AC4D-A2CC-D38A457F2FB7}"/>
            </a:ext>
          </a:extLst>
        </xdr:cNvPr>
        <xdr:cNvSpPr/>
      </xdr:nvSpPr>
      <xdr:spPr>
        <a:xfrm>
          <a:off x="9253220" y="24963120"/>
          <a:ext cx="1945640" cy="1379220"/>
        </a:xfrm>
        <a:prstGeom prst="leftArrow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fi-FI" sz="1100">
              <a:solidFill>
                <a:schemeClr val="lt1"/>
              </a:solidFill>
              <a:effectLst/>
              <a:latin typeface="+mn-lt"/>
              <a:ea typeface="+mn-ea"/>
              <a:cs typeface="+mn-cs"/>
            </a:rPr>
            <a:t>Förpackningarnas antal är länkade till skördemängden och storleken på försäljningsförpackningarna.</a:t>
          </a:r>
          <a:endParaRPr lang="sv-FI">
            <a:effectLst/>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693420</xdr:colOff>
      <xdr:row>138</xdr:row>
      <xdr:rowOff>36811</xdr:rowOff>
    </xdr:from>
    <xdr:to>
      <xdr:col>4</xdr:col>
      <xdr:colOff>754637</xdr:colOff>
      <xdr:row>145</xdr:row>
      <xdr:rowOff>106680</xdr:rowOff>
    </xdr:to>
    <xdr:sp macro="" textlink="">
      <xdr:nvSpPr>
        <xdr:cNvPr id="2" name="Kuvatekstinuoli ylös 1">
          <a:extLst>
            <a:ext uri="{FF2B5EF4-FFF2-40B4-BE49-F238E27FC236}">
              <a16:creationId xmlns:a16="http://schemas.microsoft.com/office/drawing/2014/main" id="{4166D996-BED6-3142-988E-ED586F01B61B}"/>
            </a:ext>
          </a:extLst>
        </xdr:cNvPr>
        <xdr:cNvSpPr/>
      </xdr:nvSpPr>
      <xdr:spPr>
        <a:xfrm>
          <a:off x="2994660" y="30676831"/>
          <a:ext cx="1615697" cy="1273829"/>
        </a:xfrm>
        <a:prstGeom prst="upArrow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fi-FI" sz="1100">
              <a:solidFill>
                <a:schemeClr val="lt1"/>
              </a:solidFill>
              <a:effectLst/>
              <a:latin typeface="+mn-lt"/>
              <a:ea typeface="+mn-ea"/>
              <a:cs typeface="+mn-cs"/>
            </a:rPr>
            <a:t>Det här</a:t>
          </a:r>
          <a:r>
            <a:rPr lang="fi-FI" sz="1100" baseline="0">
              <a:solidFill>
                <a:schemeClr val="lt1"/>
              </a:solidFill>
              <a:effectLst/>
              <a:latin typeface="+mn-lt"/>
              <a:ea typeface="+mn-ea"/>
              <a:cs typeface="+mn-cs"/>
            </a:rPr>
            <a:t> uppskattningen kommer från odlarfamiljens arbetsinsats delat med 2. </a:t>
          </a:r>
          <a:endParaRPr lang="sv-FI">
            <a:effectLst/>
          </a:endParaRPr>
        </a:p>
      </xdr:txBody>
    </xdr:sp>
    <xdr:clientData/>
  </xdr:twoCellAnchor>
  <xdr:twoCellAnchor>
    <xdr:from>
      <xdr:col>13</xdr:col>
      <xdr:colOff>527050</xdr:colOff>
      <xdr:row>22</xdr:row>
      <xdr:rowOff>6350</xdr:rowOff>
    </xdr:from>
    <xdr:to>
      <xdr:col>26</xdr:col>
      <xdr:colOff>63500</xdr:colOff>
      <xdr:row>52</xdr:row>
      <xdr:rowOff>203200</xdr:rowOff>
    </xdr:to>
    <xdr:graphicFrame macro="">
      <xdr:nvGraphicFramePr>
        <xdr:cNvPr id="3" name="Kaavio 2">
          <a:extLst>
            <a:ext uri="{FF2B5EF4-FFF2-40B4-BE49-F238E27FC236}">
              <a16:creationId xmlns:a16="http://schemas.microsoft.com/office/drawing/2014/main" id="{035E92AB-8FD8-F844-A550-50A9DF4AD4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12700</xdr:colOff>
      <xdr:row>102</xdr:row>
      <xdr:rowOff>38100</xdr:rowOff>
    </xdr:from>
    <xdr:to>
      <xdr:col>4</xdr:col>
      <xdr:colOff>495300</xdr:colOff>
      <xdr:row>109</xdr:row>
      <xdr:rowOff>50800</xdr:rowOff>
    </xdr:to>
    <xdr:sp macro="" textlink="">
      <xdr:nvSpPr>
        <xdr:cNvPr id="4" name="Kuvatekstinuoli alas 3">
          <a:extLst>
            <a:ext uri="{FF2B5EF4-FFF2-40B4-BE49-F238E27FC236}">
              <a16:creationId xmlns:a16="http://schemas.microsoft.com/office/drawing/2014/main" id="{6DD1B3D1-E4AF-D046-882E-C999738AEC4C}"/>
            </a:ext>
          </a:extLst>
        </xdr:cNvPr>
        <xdr:cNvSpPr/>
      </xdr:nvSpPr>
      <xdr:spPr>
        <a:xfrm>
          <a:off x="2313940" y="24117300"/>
          <a:ext cx="2037080" cy="1247140"/>
        </a:xfrm>
        <a:prstGeom prst="downArrow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fi-FI" sz="1100">
              <a:solidFill>
                <a:schemeClr val="lt1"/>
              </a:solidFill>
              <a:effectLst/>
              <a:latin typeface="+mn-lt"/>
              <a:ea typeface="+mn-ea"/>
              <a:cs typeface="+mn-cs"/>
            </a:rPr>
            <a:t>Fyll</a:t>
          </a:r>
          <a:r>
            <a:rPr lang="fi-FI" sz="1100" baseline="0">
              <a:solidFill>
                <a:schemeClr val="lt1"/>
              </a:solidFill>
              <a:effectLst/>
              <a:latin typeface="+mn-lt"/>
              <a:ea typeface="+mn-ea"/>
              <a:cs typeface="+mn-cs"/>
            </a:rPr>
            <a:t> här förpackningens storlek i kilogram, endast en siffra, t.ex. 3, ifall det är fråga om en 3 kg påse</a:t>
          </a:r>
          <a:endParaRPr lang="sv-FI">
            <a:effectLst/>
          </a:endParaRPr>
        </a:p>
      </xdr:txBody>
    </xdr:sp>
    <xdr:clientData/>
  </xdr:twoCellAnchor>
  <xdr:twoCellAnchor>
    <xdr:from>
      <xdr:col>10</xdr:col>
      <xdr:colOff>482600</xdr:colOff>
      <xdr:row>107</xdr:row>
      <xdr:rowOff>50800</xdr:rowOff>
    </xdr:from>
    <xdr:to>
      <xdr:col>12</xdr:col>
      <xdr:colOff>393700</xdr:colOff>
      <xdr:row>115</xdr:row>
      <xdr:rowOff>38100</xdr:rowOff>
    </xdr:to>
    <xdr:sp macro="" textlink="">
      <xdr:nvSpPr>
        <xdr:cNvPr id="5" name="Kuvatekstinuoli vasemmalle 4">
          <a:extLst>
            <a:ext uri="{FF2B5EF4-FFF2-40B4-BE49-F238E27FC236}">
              <a16:creationId xmlns:a16="http://schemas.microsoft.com/office/drawing/2014/main" id="{71B4A230-CB80-AE41-A67D-0BD6AC54DDE6}"/>
            </a:ext>
          </a:extLst>
        </xdr:cNvPr>
        <xdr:cNvSpPr/>
      </xdr:nvSpPr>
      <xdr:spPr>
        <a:xfrm>
          <a:off x="9253220" y="25013920"/>
          <a:ext cx="1945640" cy="1381760"/>
        </a:xfrm>
        <a:prstGeom prst="leftArrow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fi-FI" sz="1100">
              <a:solidFill>
                <a:schemeClr val="lt1"/>
              </a:solidFill>
              <a:effectLst/>
              <a:latin typeface="+mn-lt"/>
              <a:ea typeface="+mn-ea"/>
              <a:cs typeface="+mn-cs"/>
            </a:rPr>
            <a:t>Förpackningarnas antal är länkade till skördemängden och storleken på försäljningsförpackningarna.</a:t>
          </a:r>
          <a:endParaRPr lang="sv-FI">
            <a:effectLst/>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13</xdr:col>
      <xdr:colOff>522652</xdr:colOff>
      <xdr:row>20</xdr:row>
      <xdr:rowOff>79129</xdr:rowOff>
    </xdr:from>
    <xdr:to>
      <xdr:col>25</xdr:col>
      <xdr:colOff>273537</xdr:colOff>
      <xdr:row>53</xdr:row>
      <xdr:rowOff>205153</xdr:rowOff>
    </xdr:to>
    <xdr:graphicFrame macro="">
      <xdr:nvGraphicFramePr>
        <xdr:cNvPr id="5" name="Kaavio 4">
          <a:extLst>
            <a:ext uri="{FF2B5EF4-FFF2-40B4-BE49-F238E27FC236}">
              <a16:creationId xmlns:a16="http://schemas.microsoft.com/office/drawing/2014/main" id="{DE70BE27-1110-5245-9870-450C7258A2A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736600</xdr:colOff>
      <xdr:row>261</xdr:row>
      <xdr:rowOff>38100</xdr:rowOff>
    </xdr:from>
    <xdr:to>
      <xdr:col>17</xdr:col>
      <xdr:colOff>381489</xdr:colOff>
      <xdr:row>273</xdr:row>
      <xdr:rowOff>19864</xdr:rowOff>
    </xdr:to>
    <xdr:sp macro="" textlink="">
      <xdr:nvSpPr>
        <xdr:cNvPr id="3" name="Kuvatekstinuoli vasemmalle 2">
          <a:extLst>
            <a:ext uri="{FF2B5EF4-FFF2-40B4-BE49-F238E27FC236}">
              <a16:creationId xmlns:a16="http://schemas.microsoft.com/office/drawing/2014/main" id="{8146E6CD-7F1A-6346-88E4-CC74E58274A3}"/>
            </a:ext>
          </a:extLst>
        </xdr:cNvPr>
        <xdr:cNvSpPr/>
      </xdr:nvSpPr>
      <xdr:spPr>
        <a:xfrm>
          <a:off x="12788900" y="60299600"/>
          <a:ext cx="3302489" cy="1937564"/>
        </a:xfrm>
        <a:prstGeom prst="leftArrow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i-FI" sz="1100"/>
            <a:t>Skördekostnaderna kan endera vara </a:t>
          </a:r>
          <a:r>
            <a:rPr lang="fi-FI" sz="1100" baseline="0"/>
            <a:t>€/kg eller €/ha.</a:t>
          </a:r>
        </a:p>
        <a:p>
          <a:pPr algn="l"/>
          <a:r>
            <a:rPr lang="fi-FI" sz="1100" baseline="0"/>
            <a:t>Ifall man använder sig av accordlön, €/kg, bör man fylla i plockade kilogram i tabellen bredvid.</a:t>
          </a:r>
          <a:endParaRPr lang="fi-FI" sz="1100"/>
        </a:p>
      </xdr:txBody>
    </xdr:sp>
    <xdr:clientData/>
  </xdr:twoCellAnchor>
  <xdr:twoCellAnchor>
    <xdr:from>
      <xdr:col>3</xdr:col>
      <xdr:colOff>441960</xdr:colOff>
      <xdr:row>138</xdr:row>
      <xdr:rowOff>101600</xdr:rowOff>
    </xdr:from>
    <xdr:to>
      <xdr:col>4</xdr:col>
      <xdr:colOff>733470</xdr:colOff>
      <xdr:row>143</xdr:row>
      <xdr:rowOff>335280</xdr:rowOff>
    </xdr:to>
    <xdr:sp macro="" textlink="">
      <xdr:nvSpPr>
        <xdr:cNvPr id="4" name="Kuvatekstinuoli ylös 3">
          <a:extLst>
            <a:ext uri="{FF2B5EF4-FFF2-40B4-BE49-F238E27FC236}">
              <a16:creationId xmlns:a16="http://schemas.microsoft.com/office/drawing/2014/main" id="{FC5F2FA1-A135-6441-A452-8771CABC9E93}"/>
            </a:ext>
          </a:extLst>
        </xdr:cNvPr>
        <xdr:cNvSpPr/>
      </xdr:nvSpPr>
      <xdr:spPr>
        <a:xfrm>
          <a:off x="2743200" y="33972500"/>
          <a:ext cx="1845990" cy="1094740"/>
        </a:xfrm>
        <a:prstGeom prst="upArrow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fi-FI" sz="1100">
              <a:solidFill>
                <a:schemeClr val="lt1"/>
              </a:solidFill>
              <a:effectLst/>
              <a:latin typeface="+mn-lt"/>
              <a:ea typeface="+mn-ea"/>
              <a:cs typeface="+mn-cs"/>
            </a:rPr>
            <a:t>Det här</a:t>
          </a:r>
          <a:r>
            <a:rPr lang="fi-FI" sz="1100" baseline="0">
              <a:solidFill>
                <a:schemeClr val="lt1"/>
              </a:solidFill>
              <a:effectLst/>
              <a:latin typeface="+mn-lt"/>
              <a:ea typeface="+mn-ea"/>
              <a:cs typeface="+mn-cs"/>
            </a:rPr>
            <a:t> uppskattningen kommer från odlarfamiljens arbetsinsats delat med 2. </a:t>
          </a:r>
          <a:endParaRPr lang="sv-FI">
            <a:effectLst/>
          </a:endParaRPr>
        </a:p>
      </xdr:txBody>
    </xdr:sp>
    <xdr:clientData/>
  </xdr:twoCellAnchor>
  <xdr:twoCellAnchor>
    <xdr:from>
      <xdr:col>3</xdr:col>
      <xdr:colOff>76200</xdr:colOff>
      <xdr:row>214</xdr:row>
      <xdr:rowOff>50800</xdr:rowOff>
    </xdr:from>
    <xdr:to>
      <xdr:col>4</xdr:col>
      <xdr:colOff>670560</xdr:colOff>
      <xdr:row>220</xdr:row>
      <xdr:rowOff>38100</xdr:rowOff>
    </xdr:to>
    <xdr:sp macro="" textlink="">
      <xdr:nvSpPr>
        <xdr:cNvPr id="6" name="Kuvatekstinuoli alas 5">
          <a:extLst>
            <a:ext uri="{FF2B5EF4-FFF2-40B4-BE49-F238E27FC236}">
              <a16:creationId xmlns:a16="http://schemas.microsoft.com/office/drawing/2014/main" id="{23A3D39B-275B-4B48-B9E2-0D24D00ECCB6}"/>
            </a:ext>
          </a:extLst>
        </xdr:cNvPr>
        <xdr:cNvSpPr/>
      </xdr:nvSpPr>
      <xdr:spPr>
        <a:xfrm>
          <a:off x="2377440" y="50601880"/>
          <a:ext cx="2148840" cy="1038860"/>
        </a:xfrm>
        <a:prstGeom prst="downArrow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fi-FI" sz="1100">
              <a:solidFill>
                <a:schemeClr val="lt1"/>
              </a:solidFill>
              <a:effectLst/>
              <a:latin typeface="+mn-lt"/>
              <a:ea typeface="+mn-ea"/>
              <a:cs typeface="+mn-cs"/>
            </a:rPr>
            <a:t>Fyll</a:t>
          </a:r>
          <a:r>
            <a:rPr lang="fi-FI" sz="1100" baseline="0">
              <a:solidFill>
                <a:schemeClr val="lt1"/>
              </a:solidFill>
              <a:effectLst/>
              <a:latin typeface="+mn-lt"/>
              <a:ea typeface="+mn-ea"/>
              <a:cs typeface="+mn-cs"/>
            </a:rPr>
            <a:t> här förpackningens storlek i kilogram, endast en siffra, t.ex. 3, ifall det är fråga om en 3 kg påse</a:t>
          </a:r>
          <a:endParaRPr lang="sv-FI">
            <a:effectLst/>
          </a:endParaRPr>
        </a:p>
      </xdr:txBody>
    </xdr:sp>
    <xdr:clientData/>
  </xdr:twoCellAnchor>
  <xdr:twoCellAnchor>
    <xdr:from>
      <xdr:col>10</xdr:col>
      <xdr:colOff>571500</xdr:colOff>
      <xdr:row>214</xdr:row>
      <xdr:rowOff>83820</xdr:rowOff>
    </xdr:from>
    <xdr:to>
      <xdr:col>12</xdr:col>
      <xdr:colOff>482600</xdr:colOff>
      <xdr:row>222</xdr:row>
      <xdr:rowOff>63500</xdr:rowOff>
    </xdr:to>
    <xdr:sp macro="" textlink="">
      <xdr:nvSpPr>
        <xdr:cNvPr id="7" name="Kuvatekstinuoli vasemmalle 6">
          <a:extLst>
            <a:ext uri="{FF2B5EF4-FFF2-40B4-BE49-F238E27FC236}">
              <a16:creationId xmlns:a16="http://schemas.microsoft.com/office/drawing/2014/main" id="{7C48BA59-D165-DC4E-919C-2435913F0100}"/>
            </a:ext>
          </a:extLst>
        </xdr:cNvPr>
        <xdr:cNvSpPr/>
      </xdr:nvSpPr>
      <xdr:spPr>
        <a:xfrm>
          <a:off x="9364980" y="50634900"/>
          <a:ext cx="1945640" cy="1381760"/>
        </a:xfrm>
        <a:prstGeom prst="leftArrow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fi-FI" sz="1100">
              <a:solidFill>
                <a:schemeClr val="lt1"/>
              </a:solidFill>
              <a:effectLst/>
              <a:latin typeface="+mn-lt"/>
              <a:ea typeface="+mn-ea"/>
              <a:cs typeface="+mn-cs"/>
            </a:rPr>
            <a:t>Förpackningarnas antal är länkade till skördemängden och storleken på försäljningsförpackningarna.</a:t>
          </a:r>
          <a:endParaRPr lang="sv-FI">
            <a:effectLst/>
          </a:endParaRPr>
        </a:p>
      </xdr:txBody>
    </xdr:sp>
    <xdr:clientData/>
  </xdr:twoCellAnchor>
  <xdr:twoCellAnchor>
    <xdr:from>
      <xdr:col>11</xdr:col>
      <xdr:colOff>1028700</xdr:colOff>
      <xdr:row>75</xdr:row>
      <xdr:rowOff>127000</xdr:rowOff>
    </xdr:from>
    <xdr:to>
      <xdr:col>13</xdr:col>
      <xdr:colOff>431800</xdr:colOff>
      <xdr:row>82</xdr:row>
      <xdr:rowOff>203200</xdr:rowOff>
    </xdr:to>
    <xdr:sp macro="" textlink="">
      <xdr:nvSpPr>
        <xdr:cNvPr id="2" name="Kuvatekstinuoli vasemmalle 1">
          <a:extLst>
            <a:ext uri="{FF2B5EF4-FFF2-40B4-BE49-F238E27FC236}">
              <a16:creationId xmlns:a16="http://schemas.microsoft.com/office/drawing/2014/main" id="{8B80EF14-9C16-404E-B798-48A8C74871D9}"/>
            </a:ext>
          </a:extLst>
        </xdr:cNvPr>
        <xdr:cNvSpPr/>
      </xdr:nvSpPr>
      <xdr:spPr>
        <a:xfrm>
          <a:off x="11557000" y="20624800"/>
          <a:ext cx="1854200" cy="1739900"/>
        </a:xfrm>
        <a:prstGeom prst="leftArrow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fi-FI" sz="1100">
              <a:solidFill>
                <a:schemeClr val="lt1"/>
              </a:solidFill>
              <a:effectLst/>
              <a:latin typeface="+mn-lt"/>
              <a:ea typeface="+mn-ea"/>
              <a:cs typeface="+mn-cs"/>
            </a:rPr>
            <a:t>Etablerings- och röjningsårets kostnader fördelas på skördeåren</a:t>
          </a:r>
          <a:endParaRPr lang="sv-FI">
            <a:effectLst/>
          </a:endParaRPr>
        </a:p>
        <a:p>
          <a:pPr algn="l"/>
          <a:endParaRPr lang="fi-FI" sz="1100" baseline="0"/>
        </a:p>
        <a:p>
          <a:pPr algn="l"/>
          <a:endParaRPr lang="fi-FI" sz="1100"/>
        </a:p>
      </xdr:txBody>
    </xdr:sp>
    <xdr:clientData/>
  </xdr:twoCellAnchor>
  <xdr:twoCellAnchor>
    <xdr:from>
      <xdr:col>11</xdr:col>
      <xdr:colOff>571500</xdr:colOff>
      <xdr:row>15</xdr:row>
      <xdr:rowOff>165100</xdr:rowOff>
    </xdr:from>
    <xdr:to>
      <xdr:col>12</xdr:col>
      <xdr:colOff>787400</xdr:colOff>
      <xdr:row>22</xdr:row>
      <xdr:rowOff>38100</xdr:rowOff>
    </xdr:to>
    <xdr:sp macro="" textlink="">
      <xdr:nvSpPr>
        <xdr:cNvPr id="8" name="Kuvatekstinuoli vasemmalle 7">
          <a:extLst>
            <a:ext uri="{FF2B5EF4-FFF2-40B4-BE49-F238E27FC236}">
              <a16:creationId xmlns:a16="http://schemas.microsoft.com/office/drawing/2014/main" id="{811F87E8-9FD2-FD46-9420-76D14F36F5C0}"/>
            </a:ext>
          </a:extLst>
        </xdr:cNvPr>
        <xdr:cNvSpPr/>
      </xdr:nvSpPr>
      <xdr:spPr>
        <a:xfrm>
          <a:off x="11099800" y="5981700"/>
          <a:ext cx="1739900" cy="1447800"/>
        </a:xfrm>
        <a:prstGeom prst="leftArrow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i-FI" sz="1100"/>
            <a:t>Etablerings- och röjningsårets kostnader fördelas på skördeåren</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13</xdr:col>
      <xdr:colOff>522652</xdr:colOff>
      <xdr:row>21</xdr:row>
      <xdr:rowOff>79129</xdr:rowOff>
    </xdr:from>
    <xdr:to>
      <xdr:col>25</xdr:col>
      <xdr:colOff>273537</xdr:colOff>
      <xdr:row>53</xdr:row>
      <xdr:rowOff>205153</xdr:rowOff>
    </xdr:to>
    <xdr:graphicFrame macro="">
      <xdr:nvGraphicFramePr>
        <xdr:cNvPr id="3" name="Kaavio 2">
          <a:extLst>
            <a:ext uri="{FF2B5EF4-FFF2-40B4-BE49-F238E27FC236}">
              <a16:creationId xmlns:a16="http://schemas.microsoft.com/office/drawing/2014/main" id="{300D4931-FCA1-4947-87EB-F9FD380BDF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444500</xdr:colOff>
      <xdr:row>173</xdr:row>
      <xdr:rowOff>25400</xdr:rowOff>
    </xdr:from>
    <xdr:to>
      <xdr:col>17</xdr:col>
      <xdr:colOff>88900</xdr:colOff>
      <xdr:row>182</xdr:row>
      <xdr:rowOff>165100</xdr:rowOff>
    </xdr:to>
    <xdr:sp macro="" textlink="">
      <xdr:nvSpPr>
        <xdr:cNvPr id="2" name="Kuvatekstinuoli vasemmalle 1">
          <a:extLst>
            <a:ext uri="{FF2B5EF4-FFF2-40B4-BE49-F238E27FC236}">
              <a16:creationId xmlns:a16="http://schemas.microsoft.com/office/drawing/2014/main" id="{2BA92A98-84F4-A343-AD71-50FD71D61769}"/>
            </a:ext>
          </a:extLst>
        </xdr:cNvPr>
        <xdr:cNvSpPr/>
      </xdr:nvSpPr>
      <xdr:spPr>
        <a:xfrm>
          <a:off x="12369800" y="37401500"/>
          <a:ext cx="3302000" cy="1562100"/>
        </a:xfrm>
        <a:prstGeom prst="leftArrow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fi-FI" sz="1100">
              <a:solidFill>
                <a:schemeClr val="lt1"/>
              </a:solidFill>
              <a:effectLst/>
              <a:latin typeface="+mn-lt"/>
              <a:ea typeface="+mn-ea"/>
              <a:cs typeface="+mn-cs"/>
            </a:rPr>
            <a:t>Skördekostnaderna kan endera vara </a:t>
          </a:r>
          <a:r>
            <a:rPr lang="fi-FI" sz="1100" baseline="0">
              <a:solidFill>
                <a:schemeClr val="lt1"/>
              </a:solidFill>
              <a:effectLst/>
              <a:latin typeface="+mn-lt"/>
              <a:ea typeface="+mn-ea"/>
              <a:cs typeface="+mn-cs"/>
            </a:rPr>
            <a:t>€/kg eller €/ha.</a:t>
          </a:r>
          <a:endParaRPr lang="sv-FI">
            <a:effectLst/>
          </a:endParaRPr>
        </a:p>
        <a:p>
          <a:r>
            <a:rPr lang="fi-FI" sz="1100" baseline="0">
              <a:solidFill>
                <a:schemeClr val="lt1"/>
              </a:solidFill>
              <a:effectLst/>
              <a:latin typeface="+mn-lt"/>
              <a:ea typeface="+mn-ea"/>
              <a:cs typeface="+mn-cs"/>
            </a:rPr>
            <a:t>Ifall man använder sig av accordlön, €/kg, bör man fylla i plockade kilogram i tabellen bredvid.</a:t>
          </a:r>
          <a:endParaRPr lang="sv-FI">
            <a:effectLst/>
          </a:endParaRPr>
        </a:p>
      </xdr:txBody>
    </xdr:sp>
    <xdr:clientData/>
  </xdr:twoCellAnchor>
  <xdr:twoCellAnchor>
    <xdr:from>
      <xdr:col>3</xdr:col>
      <xdr:colOff>502920</xdr:colOff>
      <xdr:row>156</xdr:row>
      <xdr:rowOff>101600</xdr:rowOff>
    </xdr:from>
    <xdr:to>
      <xdr:col>4</xdr:col>
      <xdr:colOff>784270</xdr:colOff>
      <xdr:row>162</xdr:row>
      <xdr:rowOff>3755</xdr:rowOff>
    </xdr:to>
    <xdr:sp macro="" textlink="">
      <xdr:nvSpPr>
        <xdr:cNvPr id="4" name="Kuvatekstinuoli ylös 3">
          <a:extLst>
            <a:ext uri="{FF2B5EF4-FFF2-40B4-BE49-F238E27FC236}">
              <a16:creationId xmlns:a16="http://schemas.microsoft.com/office/drawing/2014/main" id="{67240449-0C16-5B47-B43A-1847F02D6D91}"/>
            </a:ext>
          </a:extLst>
        </xdr:cNvPr>
        <xdr:cNvSpPr/>
      </xdr:nvSpPr>
      <xdr:spPr>
        <a:xfrm>
          <a:off x="2804160" y="36410900"/>
          <a:ext cx="1835830" cy="1151835"/>
        </a:xfrm>
        <a:prstGeom prst="upArrow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fi-FI" sz="1100">
              <a:solidFill>
                <a:schemeClr val="lt1"/>
              </a:solidFill>
              <a:effectLst/>
              <a:latin typeface="+mn-lt"/>
              <a:ea typeface="+mn-ea"/>
              <a:cs typeface="+mn-cs"/>
            </a:rPr>
            <a:t>Det här</a:t>
          </a:r>
          <a:r>
            <a:rPr lang="fi-FI" sz="1100" baseline="0">
              <a:solidFill>
                <a:schemeClr val="lt1"/>
              </a:solidFill>
              <a:effectLst/>
              <a:latin typeface="+mn-lt"/>
              <a:ea typeface="+mn-ea"/>
              <a:cs typeface="+mn-cs"/>
            </a:rPr>
            <a:t> uppskattningen kommer från odlarfamiljens arbetsinsats delat med 2. </a:t>
          </a:r>
          <a:endParaRPr lang="sv-FI">
            <a:effectLst/>
          </a:endParaRPr>
        </a:p>
      </xdr:txBody>
    </xdr:sp>
    <xdr:clientData/>
  </xdr:twoCellAnchor>
  <xdr:twoCellAnchor>
    <xdr:from>
      <xdr:col>3</xdr:col>
      <xdr:colOff>63500</xdr:colOff>
      <xdr:row>124</xdr:row>
      <xdr:rowOff>38100</xdr:rowOff>
    </xdr:from>
    <xdr:to>
      <xdr:col>4</xdr:col>
      <xdr:colOff>716280</xdr:colOff>
      <xdr:row>130</xdr:row>
      <xdr:rowOff>25400</xdr:rowOff>
    </xdr:to>
    <xdr:sp macro="" textlink="">
      <xdr:nvSpPr>
        <xdr:cNvPr id="5" name="Kuvatekstinuoli alas 4">
          <a:extLst>
            <a:ext uri="{FF2B5EF4-FFF2-40B4-BE49-F238E27FC236}">
              <a16:creationId xmlns:a16="http://schemas.microsoft.com/office/drawing/2014/main" id="{8ACBB80C-7C1B-7543-806D-DF5426EDB896}"/>
            </a:ext>
          </a:extLst>
        </xdr:cNvPr>
        <xdr:cNvSpPr/>
      </xdr:nvSpPr>
      <xdr:spPr>
        <a:xfrm>
          <a:off x="2364740" y="30380940"/>
          <a:ext cx="2207260" cy="1038860"/>
        </a:xfrm>
        <a:prstGeom prst="downArrow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fi-FI" sz="1100">
              <a:solidFill>
                <a:schemeClr val="lt1"/>
              </a:solidFill>
              <a:effectLst/>
              <a:latin typeface="+mn-lt"/>
              <a:ea typeface="+mn-ea"/>
              <a:cs typeface="+mn-cs"/>
            </a:rPr>
            <a:t>Fyll</a:t>
          </a:r>
          <a:r>
            <a:rPr lang="fi-FI" sz="1100" baseline="0">
              <a:solidFill>
                <a:schemeClr val="lt1"/>
              </a:solidFill>
              <a:effectLst/>
              <a:latin typeface="+mn-lt"/>
              <a:ea typeface="+mn-ea"/>
              <a:cs typeface="+mn-cs"/>
            </a:rPr>
            <a:t> här förpackningens storlek i kilogram, endast en siffra, t.ex. 3, ifall det är fråga om en 3 kg påse</a:t>
          </a:r>
          <a:endParaRPr lang="sv-FI">
            <a:effectLst/>
          </a:endParaRPr>
        </a:p>
      </xdr:txBody>
    </xdr:sp>
    <xdr:clientData/>
  </xdr:twoCellAnchor>
  <xdr:twoCellAnchor>
    <xdr:from>
      <xdr:col>10</xdr:col>
      <xdr:colOff>533400</xdr:colOff>
      <xdr:row>125</xdr:row>
      <xdr:rowOff>101600</xdr:rowOff>
    </xdr:from>
    <xdr:to>
      <xdr:col>12</xdr:col>
      <xdr:colOff>444500</xdr:colOff>
      <xdr:row>133</xdr:row>
      <xdr:rowOff>15240</xdr:rowOff>
    </xdr:to>
    <xdr:sp macro="" textlink="">
      <xdr:nvSpPr>
        <xdr:cNvPr id="6" name="Kuvatekstinuoli vasemmalle 5">
          <a:extLst>
            <a:ext uri="{FF2B5EF4-FFF2-40B4-BE49-F238E27FC236}">
              <a16:creationId xmlns:a16="http://schemas.microsoft.com/office/drawing/2014/main" id="{E2CB6AD6-FD99-B347-BC25-CFBCBB171D47}"/>
            </a:ext>
          </a:extLst>
        </xdr:cNvPr>
        <xdr:cNvSpPr/>
      </xdr:nvSpPr>
      <xdr:spPr>
        <a:xfrm>
          <a:off x="9304020" y="30619700"/>
          <a:ext cx="1945640" cy="1315720"/>
        </a:xfrm>
        <a:prstGeom prst="leftArrow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fi-FI" sz="1100">
              <a:solidFill>
                <a:schemeClr val="lt1"/>
              </a:solidFill>
              <a:effectLst/>
              <a:latin typeface="+mn-lt"/>
              <a:ea typeface="+mn-ea"/>
              <a:cs typeface="+mn-cs"/>
            </a:rPr>
            <a:t>Förpackningarnas antal är länkade till skördemängden och storleken på försäljningsförpackningarna.</a:t>
          </a:r>
          <a:endParaRPr lang="sv-FI">
            <a:effectLst/>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586740</xdr:colOff>
      <xdr:row>137</xdr:row>
      <xdr:rowOff>36811</xdr:rowOff>
    </xdr:from>
    <xdr:to>
      <xdr:col>4</xdr:col>
      <xdr:colOff>754637</xdr:colOff>
      <xdr:row>143</xdr:row>
      <xdr:rowOff>205740</xdr:rowOff>
    </xdr:to>
    <xdr:sp macro="" textlink="">
      <xdr:nvSpPr>
        <xdr:cNvPr id="5" name="Kuvatekstinuoli ylös 4">
          <a:extLst>
            <a:ext uri="{FF2B5EF4-FFF2-40B4-BE49-F238E27FC236}">
              <a16:creationId xmlns:a16="http://schemas.microsoft.com/office/drawing/2014/main" id="{74B00054-38FE-4A43-BCAD-B8DCBE8185CC}"/>
            </a:ext>
          </a:extLst>
        </xdr:cNvPr>
        <xdr:cNvSpPr/>
      </xdr:nvSpPr>
      <xdr:spPr>
        <a:xfrm>
          <a:off x="2887980" y="33564811"/>
          <a:ext cx="1722377" cy="1205249"/>
        </a:xfrm>
        <a:prstGeom prst="upArrow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fi-FI" sz="1100">
              <a:solidFill>
                <a:schemeClr val="lt1"/>
              </a:solidFill>
              <a:effectLst/>
              <a:latin typeface="+mn-lt"/>
              <a:ea typeface="+mn-ea"/>
              <a:cs typeface="+mn-cs"/>
            </a:rPr>
            <a:t>Det här</a:t>
          </a:r>
          <a:r>
            <a:rPr lang="fi-FI" sz="1100" baseline="0">
              <a:solidFill>
                <a:schemeClr val="lt1"/>
              </a:solidFill>
              <a:effectLst/>
              <a:latin typeface="+mn-lt"/>
              <a:ea typeface="+mn-ea"/>
              <a:cs typeface="+mn-cs"/>
            </a:rPr>
            <a:t> uppskattningen kommer från odlarfamiljens arbetsinsats delat med 2. </a:t>
          </a:r>
          <a:endParaRPr lang="sv-FI">
            <a:effectLst/>
          </a:endParaRPr>
        </a:p>
      </xdr:txBody>
    </xdr:sp>
    <xdr:clientData/>
  </xdr:twoCellAnchor>
  <xdr:twoCellAnchor>
    <xdr:from>
      <xdr:col>13</xdr:col>
      <xdr:colOff>258883</xdr:colOff>
      <xdr:row>21</xdr:row>
      <xdr:rowOff>25399</xdr:rowOff>
    </xdr:from>
    <xdr:to>
      <xdr:col>22</xdr:col>
      <xdr:colOff>410307</xdr:colOff>
      <xdr:row>49</xdr:row>
      <xdr:rowOff>195384</xdr:rowOff>
    </xdr:to>
    <xdr:graphicFrame macro="">
      <xdr:nvGraphicFramePr>
        <xdr:cNvPr id="8" name="Kaavio 7">
          <a:extLst>
            <a:ext uri="{FF2B5EF4-FFF2-40B4-BE49-F238E27FC236}">
              <a16:creationId xmlns:a16="http://schemas.microsoft.com/office/drawing/2014/main" id="{4C418F5E-322A-DB4A-9841-761E5A2DC4C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468922</xdr:colOff>
      <xdr:row>249</xdr:row>
      <xdr:rowOff>48846</xdr:rowOff>
    </xdr:from>
    <xdr:to>
      <xdr:col>16</xdr:col>
      <xdr:colOff>345341</xdr:colOff>
      <xdr:row>258</xdr:row>
      <xdr:rowOff>6187</xdr:rowOff>
    </xdr:to>
    <xdr:sp macro="" textlink="">
      <xdr:nvSpPr>
        <xdr:cNvPr id="6" name="Kuvatekstinuoli vasemmalle 5">
          <a:extLst>
            <a:ext uri="{FF2B5EF4-FFF2-40B4-BE49-F238E27FC236}">
              <a16:creationId xmlns:a16="http://schemas.microsoft.com/office/drawing/2014/main" id="{37C86B9F-331F-2145-AAD6-56B5EC2AAC4F}"/>
            </a:ext>
          </a:extLst>
        </xdr:cNvPr>
        <xdr:cNvSpPr/>
      </xdr:nvSpPr>
      <xdr:spPr>
        <a:xfrm>
          <a:off x="11889153" y="55489231"/>
          <a:ext cx="3295650" cy="1579033"/>
        </a:xfrm>
        <a:prstGeom prst="leftArrow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fi-FI" sz="1100">
              <a:solidFill>
                <a:schemeClr val="lt1"/>
              </a:solidFill>
              <a:effectLst/>
              <a:latin typeface="+mn-lt"/>
              <a:ea typeface="+mn-ea"/>
              <a:cs typeface="+mn-cs"/>
            </a:rPr>
            <a:t>Skördekostnaderna kan endera vara </a:t>
          </a:r>
          <a:r>
            <a:rPr lang="fi-FI" sz="1100" baseline="0">
              <a:solidFill>
                <a:schemeClr val="lt1"/>
              </a:solidFill>
              <a:effectLst/>
              <a:latin typeface="+mn-lt"/>
              <a:ea typeface="+mn-ea"/>
              <a:cs typeface="+mn-cs"/>
            </a:rPr>
            <a:t>€/kg eller €/ha.</a:t>
          </a:r>
          <a:endParaRPr lang="sv-FI">
            <a:effectLst/>
          </a:endParaRPr>
        </a:p>
        <a:p>
          <a:r>
            <a:rPr lang="fi-FI" sz="1100" baseline="0">
              <a:solidFill>
                <a:schemeClr val="lt1"/>
              </a:solidFill>
              <a:effectLst/>
              <a:latin typeface="+mn-lt"/>
              <a:ea typeface="+mn-ea"/>
              <a:cs typeface="+mn-cs"/>
            </a:rPr>
            <a:t>Ifall man använder sig av accordlön, €/kg, bör man fylla i plockade kilogram i tabellen bredvid.</a:t>
          </a:r>
          <a:endParaRPr lang="sv-FI">
            <a:effectLst/>
          </a:endParaRPr>
        </a:p>
      </xdr:txBody>
    </xdr:sp>
    <xdr:clientData/>
  </xdr:twoCellAnchor>
  <xdr:twoCellAnchor>
    <xdr:from>
      <xdr:col>3</xdr:col>
      <xdr:colOff>101600</xdr:colOff>
      <xdr:row>204</xdr:row>
      <xdr:rowOff>63500</xdr:rowOff>
    </xdr:from>
    <xdr:to>
      <xdr:col>4</xdr:col>
      <xdr:colOff>731520</xdr:colOff>
      <xdr:row>210</xdr:row>
      <xdr:rowOff>50800</xdr:rowOff>
    </xdr:to>
    <xdr:sp macro="" textlink="">
      <xdr:nvSpPr>
        <xdr:cNvPr id="9" name="Kuvatekstinuoli alas 8">
          <a:extLst>
            <a:ext uri="{FF2B5EF4-FFF2-40B4-BE49-F238E27FC236}">
              <a16:creationId xmlns:a16="http://schemas.microsoft.com/office/drawing/2014/main" id="{69AA5029-5323-0543-9CA4-390377A8DFEF}"/>
            </a:ext>
          </a:extLst>
        </xdr:cNvPr>
        <xdr:cNvSpPr/>
      </xdr:nvSpPr>
      <xdr:spPr>
        <a:xfrm>
          <a:off x="2402840" y="47368460"/>
          <a:ext cx="2184400" cy="1038860"/>
        </a:xfrm>
        <a:prstGeom prst="downArrow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fi-FI" sz="1100">
              <a:solidFill>
                <a:schemeClr val="lt1"/>
              </a:solidFill>
              <a:effectLst/>
              <a:latin typeface="+mn-lt"/>
              <a:ea typeface="+mn-ea"/>
              <a:cs typeface="+mn-cs"/>
            </a:rPr>
            <a:t>Fyll</a:t>
          </a:r>
          <a:r>
            <a:rPr lang="fi-FI" sz="1100" baseline="0">
              <a:solidFill>
                <a:schemeClr val="lt1"/>
              </a:solidFill>
              <a:effectLst/>
              <a:latin typeface="+mn-lt"/>
              <a:ea typeface="+mn-ea"/>
              <a:cs typeface="+mn-cs"/>
            </a:rPr>
            <a:t> här förpackningens storlek i kilogram, endast en siffra, t.ex. 3, ifall det är fråga om en 3 kg påse</a:t>
          </a:r>
          <a:endParaRPr lang="sv-FI">
            <a:effectLst/>
          </a:endParaRPr>
        </a:p>
      </xdr:txBody>
    </xdr:sp>
    <xdr:clientData/>
  </xdr:twoCellAnchor>
  <xdr:twoCellAnchor>
    <xdr:from>
      <xdr:col>10</xdr:col>
      <xdr:colOff>546100</xdr:colOff>
      <xdr:row>206</xdr:row>
      <xdr:rowOff>38100</xdr:rowOff>
    </xdr:from>
    <xdr:to>
      <xdr:col>12</xdr:col>
      <xdr:colOff>457200</xdr:colOff>
      <xdr:row>213</xdr:row>
      <xdr:rowOff>137160</xdr:rowOff>
    </xdr:to>
    <xdr:sp macro="" textlink="">
      <xdr:nvSpPr>
        <xdr:cNvPr id="10" name="Kuvatekstinuoli vasemmalle 9">
          <a:extLst>
            <a:ext uri="{FF2B5EF4-FFF2-40B4-BE49-F238E27FC236}">
              <a16:creationId xmlns:a16="http://schemas.microsoft.com/office/drawing/2014/main" id="{F54BD756-1F7E-F24E-8624-F31075932559}"/>
            </a:ext>
          </a:extLst>
        </xdr:cNvPr>
        <xdr:cNvSpPr/>
      </xdr:nvSpPr>
      <xdr:spPr>
        <a:xfrm>
          <a:off x="8859520" y="47693580"/>
          <a:ext cx="1945640" cy="1325880"/>
        </a:xfrm>
        <a:prstGeom prst="leftArrow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fi-FI" sz="1100">
              <a:solidFill>
                <a:schemeClr val="lt1"/>
              </a:solidFill>
              <a:effectLst/>
              <a:latin typeface="+mn-lt"/>
              <a:ea typeface="+mn-ea"/>
              <a:cs typeface="+mn-cs"/>
            </a:rPr>
            <a:t>Förpackningarnas antal är länkade till skördemängden och storleken på försäljningsförpackningarna.</a:t>
          </a:r>
          <a:endParaRPr lang="sv-FI">
            <a:effectLst/>
          </a:endParaRPr>
        </a:p>
      </xdr:txBody>
    </xdr:sp>
    <xdr:clientData/>
  </xdr:twoCellAnchor>
  <xdr:twoCellAnchor>
    <xdr:from>
      <xdr:col>11</xdr:col>
      <xdr:colOff>571500</xdr:colOff>
      <xdr:row>14</xdr:row>
      <xdr:rowOff>63500</xdr:rowOff>
    </xdr:from>
    <xdr:to>
      <xdr:col>12</xdr:col>
      <xdr:colOff>787400</xdr:colOff>
      <xdr:row>21</xdr:row>
      <xdr:rowOff>12700</xdr:rowOff>
    </xdr:to>
    <xdr:sp macro="" textlink="">
      <xdr:nvSpPr>
        <xdr:cNvPr id="11" name="Kuvatekstinuoli vasemmalle 10">
          <a:extLst>
            <a:ext uri="{FF2B5EF4-FFF2-40B4-BE49-F238E27FC236}">
              <a16:creationId xmlns:a16="http://schemas.microsoft.com/office/drawing/2014/main" id="{B08470F3-E15F-0149-9699-3068B1A756B4}"/>
            </a:ext>
          </a:extLst>
        </xdr:cNvPr>
        <xdr:cNvSpPr/>
      </xdr:nvSpPr>
      <xdr:spPr>
        <a:xfrm>
          <a:off x="10566400" y="5549900"/>
          <a:ext cx="1739900" cy="1447800"/>
        </a:xfrm>
        <a:prstGeom prst="leftArrow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fi-FI" sz="1100">
              <a:solidFill>
                <a:schemeClr val="lt1"/>
              </a:solidFill>
              <a:effectLst/>
              <a:latin typeface="+mn-lt"/>
              <a:ea typeface="+mn-ea"/>
              <a:cs typeface="+mn-cs"/>
            </a:rPr>
            <a:t>Etablerings- och röjningsårets kostnader fördelas på skördeåren</a:t>
          </a:r>
          <a:endParaRPr lang="sv-FI">
            <a:effectLst/>
          </a:endParaRPr>
        </a:p>
      </xdr:txBody>
    </xdr:sp>
    <xdr:clientData/>
  </xdr:twoCellAnchor>
  <xdr:twoCellAnchor>
    <xdr:from>
      <xdr:col>11</xdr:col>
      <xdr:colOff>444500</xdr:colOff>
      <xdr:row>74</xdr:row>
      <xdr:rowOff>88900</xdr:rowOff>
    </xdr:from>
    <xdr:to>
      <xdr:col>12</xdr:col>
      <xdr:colOff>774700</xdr:colOff>
      <xdr:row>82</xdr:row>
      <xdr:rowOff>101600</xdr:rowOff>
    </xdr:to>
    <xdr:sp macro="" textlink="">
      <xdr:nvSpPr>
        <xdr:cNvPr id="12" name="Kuvatekstinuoli vasemmalle 11">
          <a:extLst>
            <a:ext uri="{FF2B5EF4-FFF2-40B4-BE49-F238E27FC236}">
              <a16:creationId xmlns:a16="http://schemas.microsoft.com/office/drawing/2014/main" id="{297D71AC-22C5-B847-B643-FC1208ADBCD7}"/>
            </a:ext>
          </a:extLst>
        </xdr:cNvPr>
        <xdr:cNvSpPr/>
      </xdr:nvSpPr>
      <xdr:spPr>
        <a:xfrm>
          <a:off x="10439400" y="19761200"/>
          <a:ext cx="1854200" cy="1739900"/>
        </a:xfrm>
        <a:prstGeom prst="leftArrow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fi-FI" sz="1100">
              <a:solidFill>
                <a:schemeClr val="lt1"/>
              </a:solidFill>
              <a:effectLst/>
              <a:latin typeface="+mn-lt"/>
              <a:ea typeface="+mn-ea"/>
              <a:cs typeface="+mn-cs"/>
            </a:rPr>
            <a:t>Etablerings- och röjningsårets kostnader fördelas på skördeåren</a:t>
          </a:r>
          <a:endParaRPr lang="sv-FI">
            <a:effectLst/>
          </a:endParaRPr>
        </a:p>
        <a:p>
          <a:pPr algn="l"/>
          <a:endParaRPr lang="fi-FI" sz="1100" baseline="0"/>
        </a:p>
        <a:p>
          <a:pPr algn="l"/>
          <a:endParaRPr lang="fi-FI"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13</xdr:col>
      <xdr:colOff>258883</xdr:colOff>
      <xdr:row>21</xdr:row>
      <xdr:rowOff>25399</xdr:rowOff>
    </xdr:from>
    <xdr:to>
      <xdr:col>22</xdr:col>
      <xdr:colOff>410307</xdr:colOff>
      <xdr:row>49</xdr:row>
      <xdr:rowOff>195384</xdr:rowOff>
    </xdr:to>
    <xdr:graphicFrame macro="">
      <xdr:nvGraphicFramePr>
        <xdr:cNvPr id="6" name="Kaavio 5">
          <a:extLst>
            <a:ext uri="{FF2B5EF4-FFF2-40B4-BE49-F238E27FC236}">
              <a16:creationId xmlns:a16="http://schemas.microsoft.com/office/drawing/2014/main" id="{C7F05828-8627-024B-9C42-4147A92100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304800</xdr:colOff>
      <xdr:row>161</xdr:row>
      <xdr:rowOff>12700</xdr:rowOff>
    </xdr:from>
    <xdr:to>
      <xdr:col>16</xdr:col>
      <xdr:colOff>196850</xdr:colOff>
      <xdr:row>172</xdr:row>
      <xdr:rowOff>42333</xdr:rowOff>
    </xdr:to>
    <xdr:sp macro="" textlink="">
      <xdr:nvSpPr>
        <xdr:cNvPr id="7" name="Kuvatekstinuoli vasemmalle 6">
          <a:extLst>
            <a:ext uri="{FF2B5EF4-FFF2-40B4-BE49-F238E27FC236}">
              <a16:creationId xmlns:a16="http://schemas.microsoft.com/office/drawing/2014/main" id="{056208BE-14FD-B84A-89F0-410776864D85}"/>
            </a:ext>
          </a:extLst>
        </xdr:cNvPr>
        <xdr:cNvSpPr/>
      </xdr:nvSpPr>
      <xdr:spPr>
        <a:xfrm>
          <a:off x="11722100" y="36233100"/>
          <a:ext cx="3295650" cy="2074333"/>
        </a:xfrm>
        <a:prstGeom prst="leftArrow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fi-FI" sz="1100">
              <a:solidFill>
                <a:schemeClr val="lt1"/>
              </a:solidFill>
              <a:effectLst/>
              <a:latin typeface="+mn-lt"/>
              <a:ea typeface="+mn-ea"/>
              <a:cs typeface="+mn-cs"/>
            </a:rPr>
            <a:t>Skördekostnaderna kan endera vara </a:t>
          </a:r>
          <a:r>
            <a:rPr lang="fi-FI" sz="1100" baseline="0">
              <a:solidFill>
                <a:schemeClr val="lt1"/>
              </a:solidFill>
              <a:effectLst/>
              <a:latin typeface="+mn-lt"/>
              <a:ea typeface="+mn-ea"/>
              <a:cs typeface="+mn-cs"/>
            </a:rPr>
            <a:t>€/kg eller €/ha.</a:t>
          </a:r>
          <a:endParaRPr lang="sv-FI">
            <a:effectLst/>
          </a:endParaRPr>
        </a:p>
        <a:p>
          <a:r>
            <a:rPr lang="fi-FI" sz="1100" baseline="0">
              <a:solidFill>
                <a:schemeClr val="lt1"/>
              </a:solidFill>
              <a:effectLst/>
              <a:latin typeface="+mn-lt"/>
              <a:ea typeface="+mn-ea"/>
              <a:cs typeface="+mn-cs"/>
            </a:rPr>
            <a:t>Ifall man använder sig av accordlön, €/kg, bör man fylla i plockade kilogram i tabellen bredvid.</a:t>
          </a:r>
          <a:endParaRPr lang="sv-FI">
            <a:effectLst/>
          </a:endParaRPr>
        </a:p>
      </xdr:txBody>
    </xdr:sp>
    <xdr:clientData/>
  </xdr:twoCellAnchor>
  <xdr:twoCellAnchor>
    <xdr:from>
      <xdr:col>3</xdr:col>
      <xdr:colOff>449580</xdr:colOff>
      <xdr:row>151</xdr:row>
      <xdr:rowOff>127000</xdr:rowOff>
    </xdr:from>
    <xdr:to>
      <xdr:col>4</xdr:col>
      <xdr:colOff>784270</xdr:colOff>
      <xdr:row>157</xdr:row>
      <xdr:rowOff>72335</xdr:rowOff>
    </xdr:to>
    <xdr:sp macro="" textlink="">
      <xdr:nvSpPr>
        <xdr:cNvPr id="8" name="Kuvatekstinuoli ylös 7">
          <a:extLst>
            <a:ext uri="{FF2B5EF4-FFF2-40B4-BE49-F238E27FC236}">
              <a16:creationId xmlns:a16="http://schemas.microsoft.com/office/drawing/2014/main" id="{1B62A857-9E6A-6648-A298-91D56AD3450E}"/>
            </a:ext>
          </a:extLst>
        </xdr:cNvPr>
        <xdr:cNvSpPr/>
      </xdr:nvSpPr>
      <xdr:spPr>
        <a:xfrm>
          <a:off x="2750820" y="34729420"/>
          <a:ext cx="1889170" cy="981655"/>
        </a:xfrm>
        <a:prstGeom prst="upArrow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fi-FI" sz="1100">
              <a:solidFill>
                <a:schemeClr val="lt1"/>
              </a:solidFill>
              <a:effectLst/>
              <a:latin typeface="+mn-lt"/>
              <a:ea typeface="+mn-ea"/>
              <a:cs typeface="+mn-cs"/>
            </a:rPr>
            <a:t>Det här</a:t>
          </a:r>
          <a:r>
            <a:rPr lang="fi-FI" sz="1100" baseline="0">
              <a:solidFill>
                <a:schemeClr val="lt1"/>
              </a:solidFill>
              <a:effectLst/>
              <a:latin typeface="+mn-lt"/>
              <a:ea typeface="+mn-ea"/>
              <a:cs typeface="+mn-cs"/>
            </a:rPr>
            <a:t> uppskattningen kommer från odlarfamiljens arbetsinsats delat med 2. </a:t>
          </a:r>
          <a:endParaRPr lang="fi-FI" sz="1100"/>
        </a:p>
      </xdr:txBody>
    </xdr:sp>
    <xdr:clientData/>
  </xdr:twoCellAnchor>
  <xdr:twoCellAnchor>
    <xdr:from>
      <xdr:col>10</xdr:col>
      <xdr:colOff>660400</xdr:colOff>
      <xdr:row>120</xdr:row>
      <xdr:rowOff>50800</xdr:rowOff>
    </xdr:from>
    <xdr:to>
      <xdr:col>12</xdr:col>
      <xdr:colOff>609600</xdr:colOff>
      <xdr:row>127</xdr:row>
      <xdr:rowOff>106680</xdr:rowOff>
    </xdr:to>
    <xdr:sp macro="" textlink="">
      <xdr:nvSpPr>
        <xdr:cNvPr id="2" name="Kuvatekstinuoli vasemmalle 1">
          <a:extLst>
            <a:ext uri="{FF2B5EF4-FFF2-40B4-BE49-F238E27FC236}">
              <a16:creationId xmlns:a16="http://schemas.microsoft.com/office/drawing/2014/main" id="{8A6BE443-2181-EC45-8978-7C0BDEFBA135}"/>
            </a:ext>
          </a:extLst>
        </xdr:cNvPr>
        <xdr:cNvSpPr/>
      </xdr:nvSpPr>
      <xdr:spPr>
        <a:xfrm>
          <a:off x="8973820" y="28724860"/>
          <a:ext cx="1983740" cy="1282700"/>
        </a:xfrm>
        <a:prstGeom prst="leftArrow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fi-FI" sz="1100">
              <a:solidFill>
                <a:schemeClr val="lt1"/>
              </a:solidFill>
              <a:effectLst/>
              <a:latin typeface="+mn-lt"/>
              <a:ea typeface="+mn-ea"/>
              <a:cs typeface="+mn-cs"/>
            </a:rPr>
            <a:t>Förpackningarnas antal är länkade till skördemängden och storleken på försäljningsförpackningarna.</a:t>
          </a:r>
          <a:endParaRPr lang="sv-FI">
            <a:effectLst/>
          </a:endParaRPr>
        </a:p>
      </xdr:txBody>
    </xdr:sp>
    <xdr:clientData/>
  </xdr:twoCellAnchor>
  <xdr:twoCellAnchor>
    <xdr:from>
      <xdr:col>3</xdr:col>
      <xdr:colOff>88900</xdr:colOff>
      <xdr:row>118</xdr:row>
      <xdr:rowOff>63500</xdr:rowOff>
    </xdr:from>
    <xdr:to>
      <xdr:col>4</xdr:col>
      <xdr:colOff>701040</xdr:colOff>
      <xdr:row>124</xdr:row>
      <xdr:rowOff>50800</xdr:rowOff>
    </xdr:to>
    <xdr:sp macro="" textlink="">
      <xdr:nvSpPr>
        <xdr:cNvPr id="9" name="Kuvatekstinuoli alas 8">
          <a:extLst>
            <a:ext uri="{FF2B5EF4-FFF2-40B4-BE49-F238E27FC236}">
              <a16:creationId xmlns:a16="http://schemas.microsoft.com/office/drawing/2014/main" id="{EE23ED48-7BF2-3042-A5B4-4AE3C4D17602}"/>
            </a:ext>
          </a:extLst>
        </xdr:cNvPr>
        <xdr:cNvSpPr/>
      </xdr:nvSpPr>
      <xdr:spPr>
        <a:xfrm>
          <a:off x="2390140" y="28387040"/>
          <a:ext cx="2166620" cy="1038860"/>
        </a:xfrm>
        <a:prstGeom prst="downArrow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fi-FI" sz="1100">
              <a:solidFill>
                <a:schemeClr val="lt1"/>
              </a:solidFill>
              <a:effectLst/>
              <a:latin typeface="+mn-lt"/>
              <a:ea typeface="+mn-ea"/>
              <a:cs typeface="+mn-cs"/>
            </a:rPr>
            <a:t>Fyll</a:t>
          </a:r>
          <a:r>
            <a:rPr lang="fi-FI" sz="1100" baseline="0">
              <a:solidFill>
                <a:schemeClr val="lt1"/>
              </a:solidFill>
              <a:effectLst/>
              <a:latin typeface="+mn-lt"/>
              <a:ea typeface="+mn-ea"/>
              <a:cs typeface="+mn-cs"/>
            </a:rPr>
            <a:t> här förpackningens storlek i kilogram, endast en siffra, t.ex. 3, ifall det är fråga om en 3 kg påse</a:t>
          </a:r>
          <a:endParaRPr lang="sv-FI">
            <a:effectLst/>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3</xdr:col>
      <xdr:colOff>605327</xdr:colOff>
      <xdr:row>149</xdr:row>
      <xdr:rowOff>36811</xdr:rowOff>
    </xdr:from>
    <xdr:to>
      <xdr:col>4</xdr:col>
      <xdr:colOff>754637</xdr:colOff>
      <xdr:row>155</xdr:row>
      <xdr:rowOff>256374</xdr:rowOff>
    </xdr:to>
    <xdr:sp macro="" textlink="">
      <xdr:nvSpPr>
        <xdr:cNvPr id="4" name="Kuvatekstinuoli ylös 3">
          <a:extLst>
            <a:ext uri="{FF2B5EF4-FFF2-40B4-BE49-F238E27FC236}">
              <a16:creationId xmlns:a16="http://schemas.microsoft.com/office/drawing/2014/main" id="{53D4CBF3-367E-2640-8D0D-7F6C050D6E43}"/>
            </a:ext>
          </a:extLst>
        </xdr:cNvPr>
        <xdr:cNvSpPr/>
      </xdr:nvSpPr>
      <xdr:spPr>
        <a:xfrm>
          <a:off x="2905570" y="36363559"/>
          <a:ext cx="1701796" cy="1273544"/>
        </a:xfrm>
        <a:prstGeom prst="upArrow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fi-FI" sz="1100">
              <a:solidFill>
                <a:schemeClr val="lt1"/>
              </a:solidFill>
              <a:effectLst/>
              <a:latin typeface="+mn-lt"/>
              <a:ea typeface="+mn-ea"/>
              <a:cs typeface="+mn-cs"/>
            </a:rPr>
            <a:t>Det här</a:t>
          </a:r>
          <a:r>
            <a:rPr lang="fi-FI" sz="1100" baseline="0">
              <a:solidFill>
                <a:schemeClr val="lt1"/>
              </a:solidFill>
              <a:effectLst/>
              <a:latin typeface="+mn-lt"/>
              <a:ea typeface="+mn-ea"/>
              <a:cs typeface="+mn-cs"/>
            </a:rPr>
            <a:t> uppskattningen kommer från odlarfamiljens arbetsinsats delat med 2. </a:t>
          </a:r>
          <a:endParaRPr lang="sv-FI">
            <a:effectLst/>
          </a:endParaRPr>
        </a:p>
      </xdr:txBody>
    </xdr:sp>
    <xdr:clientData/>
  </xdr:twoCellAnchor>
  <xdr:twoCellAnchor>
    <xdr:from>
      <xdr:col>13</xdr:col>
      <xdr:colOff>387350</xdr:colOff>
      <xdr:row>20</xdr:row>
      <xdr:rowOff>44450</xdr:rowOff>
    </xdr:from>
    <xdr:to>
      <xdr:col>23</xdr:col>
      <xdr:colOff>571500</xdr:colOff>
      <xdr:row>53</xdr:row>
      <xdr:rowOff>101600</xdr:rowOff>
    </xdr:to>
    <xdr:graphicFrame macro="">
      <xdr:nvGraphicFramePr>
        <xdr:cNvPr id="6" name="Kaavio 5">
          <a:extLst>
            <a:ext uri="{FF2B5EF4-FFF2-40B4-BE49-F238E27FC236}">
              <a16:creationId xmlns:a16="http://schemas.microsoft.com/office/drawing/2014/main" id="{610607A2-2D88-8E4F-A0A5-C4C05E158D4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450272</xdr:colOff>
      <xdr:row>333</xdr:row>
      <xdr:rowOff>11545</xdr:rowOff>
    </xdr:from>
    <xdr:to>
      <xdr:col>16</xdr:col>
      <xdr:colOff>328468</xdr:colOff>
      <xdr:row>341</xdr:row>
      <xdr:rowOff>158941</xdr:rowOff>
    </xdr:to>
    <xdr:sp macro="" textlink="">
      <xdr:nvSpPr>
        <xdr:cNvPr id="8" name="Kuvatekstinuoli vasemmalle 7">
          <a:extLst>
            <a:ext uri="{FF2B5EF4-FFF2-40B4-BE49-F238E27FC236}">
              <a16:creationId xmlns:a16="http://schemas.microsoft.com/office/drawing/2014/main" id="{A4043551-A911-6342-8CBD-E1319C003D87}"/>
            </a:ext>
          </a:extLst>
        </xdr:cNvPr>
        <xdr:cNvSpPr/>
      </xdr:nvSpPr>
      <xdr:spPr>
        <a:xfrm>
          <a:off x="11649363" y="74953090"/>
          <a:ext cx="3295650" cy="1579033"/>
        </a:xfrm>
        <a:prstGeom prst="leftArrow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fi-FI" sz="1100">
              <a:solidFill>
                <a:schemeClr val="lt1"/>
              </a:solidFill>
              <a:effectLst/>
              <a:latin typeface="+mn-lt"/>
              <a:ea typeface="+mn-ea"/>
              <a:cs typeface="+mn-cs"/>
            </a:rPr>
            <a:t>Skördekostnaderna kan endera vara </a:t>
          </a:r>
          <a:r>
            <a:rPr lang="fi-FI" sz="1100" baseline="0">
              <a:solidFill>
                <a:schemeClr val="lt1"/>
              </a:solidFill>
              <a:effectLst/>
              <a:latin typeface="+mn-lt"/>
              <a:ea typeface="+mn-ea"/>
              <a:cs typeface="+mn-cs"/>
            </a:rPr>
            <a:t>€/kg eller €/ha.</a:t>
          </a:r>
          <a:endParaRPr lang="sv-FI">
            <a:effectLst/>
          </a:endParaRPr>
        </a:p>
        <a:p>
          <a:r>
            <a:rPr lang="fi-FI" sz="1100" baseline="0">
              <a:solidFill>
                <a:schemeClr val="lt1"/>
              </a:solidFill>
              <a:effectLst/>
              <a:latin typeface="+mn-lt"/>
              <a:ea typeface="+mn-ea"/>
              <a:cs typeface="+mn-cs"/>
            </a:rPr>
            <a:t>Ifall man använder sig av accordlön, €/kg, bör man fylla i plockade kilogram i tabellen bredvid.</a:t>
          </a:r>
          <a:endParaRPr lang="sv-FI">
            <a:effectLst/>
          </a:endParaRPr>
        </a:p>
      </xdr:txBody>
    </xdr:sp>
    <xdr:clientData/>
  </xdr:twoCellAnchor>
  <xdr:twoCellAnchor>
    <xdr:from>
      <xdr:col>3</xdr:col>
      <xdr:colOff>237382</xdr:colOff>
      <xdr:row>288</xdr:row>
      <xdr:rowOff>0</xdr:rowOff>
    </xdr:from>
    <xdr:to>
      <xdr:col>5</xdr:col>
      <xdr:colOff>14242</xdr:colOff>
      <xdr:row>293</xdr:row>
      <xdr:rowOff>163913</xdr:rowOff>
    </xdr:to>
    <xdr:sp macro="" textlink="">
      <xdr:nvSpPr>
        <xdr:cNvPr id="9" name="Kuvatekstinuoli alas 8">
          <a:extLst>
            <a:ext uri="{FF2B5EF4-FFF2-40B4-BE49-F238E27FC236}">
              <a16:creationId xmlns:a16="http://schemas.microsoft.com/office/drawing/2014/main" id="{20CB404D-FBE2-A24A-8A21-9ED4504F884F}"/>
            </a:ext>
          </a:extLst>
        </xdr:cNvPr>
        <xdr:cNvSpPr/>
      </xdr:nvSpPr>
      <xdr:spPr>
        <a:xfrm>
          <a:off x="2537625" y="66464916"/>
          <a:ext cx="2162561" cy="1054100"/>
        </a:xfrm>
        <a:prstGeom prst="downArrow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fi-FI" sz="1100">
              <a:solidFill>
                <a:schemeClr val="lt1"/>
              </a:solidFill>
              <a:effectLst/>
              <a:latin typeface="+mn-lt"/>
              <a:ea typeface="+mn-ea"/>
              <a:cs typeface="+mn-cs"/>
            </a:rPr>
            <a:t>Fyll</a:t>
          </a:r>
          <a:r>
            <a:rPr lang="fi-FI" sz="1100" baseline="0">
              <a:solidFill>
                <a:schemeClr val="lt1"/>
              </a:solidFill>
              <a:effectLst/>
              <a:latin typeface="+mn-lt"/>
              <a:ea typeface="+mn-ea"/>
              <a:cs typeface="+mn-cs"/>
            </a:rPr>
            <a:t> här förpackningens storlek i kilogram, endast en siffra, t.ex. 3, ifall det är fråga om en 3 kg påse</a:t>
          </a:r>
          <a:endParaRPr lang="sv-FI">
            <a:effectLst/>
          </a:endParaRPr>
        </a:p>
      </xdr:txBody>
    </xdr:sp>
    <xdr:clientData/>
  </xdr:twoCellAnchor>
  <xdr:twoCellAnchor>
    <xdr:from>
      <xdr:col>10</xdr:col>
      <xdr:colOff>581588</xdr:colOff>
      <xdr:row>289</xdr:row>
      <xdr:rowOff>106822</xdr:rowOff>
    </xdr:from>
    <xdr:to>
      <xdr:col>12</xdr:col>
      <xdr:colOff>498148</xdr:colOff>
      <xdr:row>296</xdr:row>
      <xdr:rowOff>106821</xdr:rowOff>
    </xdr:to>
    <xdr:sp macro="" textlink="">
      <xdr:nvSpPr>
        <xdr:cNvPr id="10" name="Kuvatekstinuoli vasemmalle 9">
          <a:extLst>
            <a:ext uri="{FF2B5EF4-FFF2-40B4-BE49-F238E27FC236}">
              <a16:creationId xmlns:a16="http://schemas.microsoft.com/office/drawing/2014/main" id="{27DD4E9F-768A-7846-8B04-799EB06726D8}"/>
            </a:ext>
          </a:extLst>
        </xdr:cNvPr>
        <xdr:cNvSpPr/>
      </xdr:nvSpPr>
      <xdr:spPr>
        <a:xfrm>
          <a:off x="8721457" y="66749775"/>
          <a:ext cx="1953308" cy="1246261"/>
        </a:xfrm>
        <a:prstGeom prst="leftArrow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fi-FI" sz="1100">
              <a:solidFill>
                <a:schemeClr val="lt1"/>
              </a:solidFill>
              <a:effectLst/>
              <a:latin typeface="+mn-lt"/>
              <a:ea typeface="+mn-ea"/>
              <a:cs typeface="+mn-cs"/>
            </a:rPr>
            <a:t>Förpackningarnas antal är länkade till skördemängden och storleken på försäljningsförpackningarna.</a:t>
          </a:r>
          <a:endParaRPr lang="sv-FI">
            <a:effectLst/>
          </a:endParaRPr>
        </a:p>
      </xdr:txBody>
    </xdr:sp>
    <xdr:clientData/>
  </xdr:twoCellAnchor>
  <xdr:twoCellAnchor>
    <xdr:from>
      <xdr:col>11</xdr:col>
      <xdr:colOff>833216</xdr:colOff>
      <xdr:row>14</xdr:row>
      <xdr:rowOff>35607</xdr:rowOff>
    </xdr:from>
    <xdr:to>
      <xdr:col>13</xdr:col>
      <xdr:colOff>196910</xdr:colOff>
      <xdr:row>21</xdr:row>
      <xdr:rowOff>2137</xdr:rowOff>
    </xdr:to>
    <xdr:sp macro="" textlink="">
      <xdr:nvSpPr>
        <xdr:cNvPr id="11" name="Kuvatekstinuoli vasemmalle 10">
          <a:extLst>
            <a:ext uri="{FF2B5EF4-FFF2-40B4-BE49-F238E27FC236}">
              <a16:creationId xmlns:a16="http://schemas.microsoft.com/office/drawing/2014/main" id="{D65BDB58-06D0-594C-ADB4-5CB058420514}"/>
            </a:ext>
          </a:extLst>
        </xdr:cNvPr>
        <xdr:cNvSpPr/>
      </xdr:nvSpPr>
      <xdr:spPr>
        <a:xfrm>
          <a:off x="9635384" y="5540523"/>
          <a:ext cx="1571358" cy="1383707"/>
        </a:xfrm>
        <a:prstGeom prst="leftArrow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fi-FI" sz="1100">
              <a:solidFill>
                <a:schemeClr val="lt1"/>
              </a:solidFill>
              <a:effectLst/>
              <a:latin typeface="+mn-lt"/>
              <a:ea typeface="+mn-ea"/>
              <a:cs typeface="+mn-cs"/>
            </a:rPr>
            <a:t>Etablerings- och röjningsårets kostnader fördelas på skördeåren.</a:t>
          </a:r>
          <a:endParaRPr lang="sv-FI">
            <a:effectLst/>
          </a:endParaRPr>
        </a:p>
      </xdr:txBody>
    </xdr:sp>
    <xdr:clientData/>
  </xdr:twoCellAnchor>
  <xdr:twoCellAnchor>
    <xdr:from>
      <xdr:col>11</xdr:col>
      <xdr:colOff>937665</xdr:colOff>
      <xdr:row>85</xdr:row>
      <xdr:rowOff>59346</xdr:rowOff>
    </xdr:from>
    <xdr:to>
      <xdr:col>13</xdr:col>
      <xdr:colOff>769121</xdr:colOff>
      <xdr:row>91</xdr:row>
      <xdr:rowOff>201538</xdr:rowOff>
    </xdr:to>
    <xdr:sp macro="" textlink="">
      <xdr:nvSpPr>
        <xdr:cNvPr id="12" name="Kuvatekstinuoli vasemmalle 11">
          <a:extLst>
            <a:ext uri="{FF2B5EF4-FFF2-40B4-BE49-F238E27FC236}">
              <a16:creationId xmlns:a16="http://schemas.microsoft.com/office/drawing/2014/main" id="{E3A7E475-69AD-CE44-964C-4F3D02C1F4BB}"/>
            </a:ext>
          </a:extLst>
        </xdr:cNvPr>
        <xdr:cNvSpPr/>
      </xdr:nvSpPr>
      <xdr:spPr>
        <a:xfrm>
          <a:off x="9739833" y="22214318"/>
          <a:ext cx="2039120" cy="1424061"/>
        </a:xfrm>
        <a:prstGeom prst="leftArrow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i-FI" sz="1100"/>
            <a:t>Etablerings, förodlings- och röjningsårens kostnader fördelas på skördeåren.</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3</xdr:col>
      <xdr:colOff>624840</xdr:colOff>
      <xdr:row>152</xdr:row>
      <xdr:rowOff>36811</xdr:rowOff>
    </xdr:from>
    <xdr:to>
      <xdr:col>4</xdr:col>
      <xdr:colOff>754637</xdr:colOff>
      <xdr:row>158</xdr:row>
      <xdr:rowOff>312420</xdr:rowOff>
    </xdr:to>
    <xdr:sp macro="" textlink="">
      <xdr:nvSpPr>
        <xdr:cNvPr id="4" name="Kuvatekstinuoli ylös 3">
          <a:extLst>
            <a:ext uri="{FF2B5EF4-FFF2-40B4-BE49-F238E27FC236}">
              <a16:creationId xmlns:a16="http://schemas.microsoft.com/office/drawing/2014/main" id="{B8133D5E-5474-C349-B518-B06DF4B47539}"/>
            </a:ext>
          </a:extLst>
        </xdr:cNvPr>
        <xdr:cNvSpPr/>
      </xdr:nvSpPr>
      <xdr:spPr>
        <a:xfrm>
          <a:off x="2926080" y="36986191"/>
          <a:ext cx="1684277" cy="1311929"/>
        </a:xfrm>
        <a:prstGeom prst="upArrow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fi-FI" sz="1100">
              <a:solidFill>
                <a:schemeClr val="lt1"/>
              </a:solidFill>
              <a:effectLst/>
              <a:latin typeface="+mn-lt"/>
              <a:ea typeface="+mn-ea"/>
              <a:cs typeface="+mn-cs"/>
            </a:rPr>
            <a:t>Det här</a:t>
          </a:r>
          <a:r>
            <a:rPr lang="fi-FI" sz="1100" baseline="0">
              <a:solidFill>
                <a:schemeClr val="lt1"/>
              </a:solidFill>
              <a:effectLst/>
              <a:latin typeface="+mn-lt"/>
              <a:ea typeface="+mn-ea"/>
              <a:cs typeface="+mn-cs"/>
            </a:rPr>
            <a:t> uppskattningen kommer från odlarfamiljens arbetsinsats delat med 2. </a:t>
          </a:r>
          <a:endParaRPr lang="sv-FI">
            <a:effectLst/>
          </a:endParaRPr>
        </a:p>
      </xdr:txBody>
    </xdr:sp>
    <xdr:clientData/>
  </xdr:twoCellAnchor>
  <xdr:twoCellAnchor>
    <xdr:from>
      <xdr:col>13</xdr:col>
      <xdr:colOff>686535</xdr:colOff>
      <xdr:row>20</xdr:row>
      <xdr:rowOff>45646</xdr:rowOff>
    </xdr:from>
    <xdr:to>
      <xdr:col>23</xdr:col>
      <xdr:colOff>616594</xdr:colOff>
      <xdr:row>56</xdr:row>
      <xdr:rowOff>18406</xdr:rowOff>
    </xdr:to>
    <xdr:graphicFrame macro="">
      <xdr:nvGraphicFramePr>
        <xdr:cNvPr id="5" name="Kaavio 4">
          <a:extLst>
            <a:ext uri="{FF2B5EF4-FFF2-40B4-BE49-F238E27FC236}">
              <a16:creationId xmlns:a16="http://schemas.microsoft.com/office/drawing/2014/main" id="{78FAA993-8323-9B46-9572-6C7E1C2E231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476250</xdr:colOff>
      <xdr:row>366</xdr:row>
      <xdr:rowOff>42333</xdr:rowOff>
    </xdr:from>
    <xdr:to>
      <xdr:col>16</xdr:col>
      <xdr:colOff>364067</xdr:colOff>
      <xdr:row>374</xdr:row>
      <xdr:rowOff>150283</xdr:rowOff>
    </xdr:to>
    <xdr:sp macro="" textlink="">
      <xdr:nvSpPr>
        <xdr:cNvPr id="7" name="Kuvatekstinuoli vasemmalle 6">
          <a:extLst>
            <a:ext uri="{FF2B5EF4-FFF2-40B4-BE49-F238E27FC236}">
              <a16:creationId xmlns:a16="http://schemas.microsoft.com/office/drawing/2014/main" id="{E981B5C4-D385-924E-B3A2-E599C39E3759}"/>
            </a:ext>
          </a:extLst>
        </xdr:cNvPr>
        <xdr:cNvSpPr/>
      </xdr:nvSpPr>
      <xdr:spPr>
        <a:xfrm>
          <a:off x="11652250" y="76464583"/>
          <a:ext cx="3295650" cy="1579033"/>
        </a:xfrm>
        <a:prstGeom prst="leftArrow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fi-FI" sz="1100">
              <a:solidFill>
                <a:schemeClr val="lt1"/>
              </a:solidFill>
              <a:effectLst/>
              <a:latin typeface="+mn-lt"/>
              <a:ea typeface="+mn-ea"/>
              <a:cs typeface="+mn-cs"/>
            </a:rPr>
            <a:t>Skördekostnaderna kan endera vara </a:t>
          </a:r>
          <a:r>
            <a:rPr lang="fi-FI" sz="1100" baseline="0">
              <a:solidFill>
                <a:schemeClr val="lt1"/>
              </a:solidFill>
              <a:effectLst/>
              <a:latin typeface="+mn-lt"/>
              <a:ea typeface="+mn-ea"/>
              <a:cs typeface="+mn-cs"/>
            </a:rPr>
            <a:t>€/kg eller €/ha.</a:t>
          </a:r>
          <a:endParaRPr lang="sv-FI">
            <a:effectLst/>
          </a:endParaRPr>
        </a:p>
        <a:p>
          <a:r>
            <a:rPr lang="fi-FI" sz="1100" baseline="0">
              <a:solidFill>
                <a:schemeClr val="lt1"/>
              </a:solidFill>
              <a:effectLst/>
              <a:latin typeface="+mn-lt"/>
              <a:ea typeface="+mn-ea"/>
              <a:cs typeface="+mn-cs"/>
            </a:rPr>
            <a:t>Ifall man använder sig av accordlön, €/kg, bör man fylla i plockade kilogram i tabellen bredvid.</a:t>
          </a:r>
          <a:endParaRPr lang="sv-FI">
            <a:effectLst/>
          </a:endParaRPr>
        </a:p>
      </xdr:txBody>
    </xdr:sp>
    <xdr:clientData/>
  </xdr:twoCellAnchor>
  <xdr:twoCellAnchor>
    <xdr:from>
      <xdr:col>3</xdr:col>
      <xdr:colOff>127000</xdr:colOff>
      <xdr:row>320</xdr:row>
      <xdr:rowOff>508000</xdr:rowOff>
    </xdr:from>
    <xdr:to>
      <xdr:col>4</xdr:col>
      <xdr:colOff>807720</xdr:colOff>
      <xdr:row>326</xdr:row>
      <xdr:rowOff>152400</xdr:rowOff>
    </xdr:to>
    <xdr:sp macro="" textlink="">
      <xdr:nvSpPr>
        <xdr:cNvPr id="8" name="Kuvatekstinuoli alas 7">
          <a:extLst>
            <a:ext uri="{FF2B5EF4-FFF2-40B4-BE49-F238E27FC236}">
              <a16:creationId xmlns:a16="http://schemas.microsoft.com/office/drawing/2014/main" id="{E5F44353-4AC5-FB4D-8AC5-3B6C20E1AB50}"/>
            </a:ext>
          </a:extLst>
        </xdr:cNvPr>
        <xdr:cNvSpPr/>
      </xdr:nvSpPr>
      <xdr:spPr>
        <a:xfrm>
          <a:off x="2428240" y="74620120"/>
          <a:ext cx="2235200" cy="1038860"/>
        </a:xfrm>
        <a:prstGeom prst="downArrow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fi-FI" sz="1100">
              <a:solidFill>
                <a:schemeClr val="lt1"/>
              </a:solidFill>
              <a:effectLst/>
              <a:latin typeface="+mn-lt"/>
              <a:ea typeface="+mn-ea"/>
              <a:cs typeface="+mn-cs"/>
            </a:rPr>
            <a:t>Fyll</a:t>
          </a:r>
          <a:r>
            <a:rPr lang="fi-FI" sz="1100" baseline="0">
              <a:solidFill>
                <a:schemeClr val="lt1"/>
              </a:solidFill>
              <a:effectLst/>
              <a:latin typeface="+mn-lt"/>
              <a:ea typeface="+mn-ea"/>
              <a:cs typeface="+mn-cs"/>
            </a:rPr>
            <a:t> här förpackningens storlek i kilogram, endast en siffra, t.ex. 3, ifall det är fråga om en 3 kg påse</a:t>
          </a:r>
          <a:endParaRPr lang="sv-FI">
            <a:effectLst/>
          </a:endParaRPr>
        </a:p>
      </xdr:txBody>
    </xdr:sp>
    <xdr:clientData/>
  </xdr:twoCellAnchor>
  <xdr:twoCellAnchor>
    <xdr:from>
      <xdr:col>10</xdr:col>
      <xdr:colOff>533400</xdr:colOff>
      <xdr:row>322</xdr:row>
      <xdr:rowOff>165100</xdr:rowOff>
    </xdr:from>
    <xdr:to>
      <xdr:col>12</xdr:col>
      <xdr:colOff>444500</xdr:colOff>
      <xdr:row>331</xdr:row>
      <xdr:rowOff>15240</xdr:rowOff>
    </xdr:to>
    <xdr:sp macro="" textlink="">
      <xdr:nvSpPr>
        <xdr:cNvPr id="9" name="Kuvatekstinuoli vasemmalle 8">
          <a:extLst>
            <a:ext uri="{FF2B5EF4-FFF2-40B4-BE49-F238E27FC236}">
              <a16:creationId xmlns:a16="http://schemas.microsoft.com/office/drawing/2014/main" id="{70D51C84-F71E-8D43-AEE6-63B8906DF8E1}"/>
            </a:ext>
          </a:extLst>
        </xdr:cNvPr>
        <xdr:cNvSpPr/>
      </xdr:nvSpPr>
      <xdr:spPr>
        <a:xfrm>
          <a:off x="8671560" y="74970640"/>
          <a:ext cx="1945640" cy="1419860"/>
        </a:xfrm>
        <a:prstGeom prst="leftArrow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fi-FI" sz="1100">
              <a:solidFill>
                <a:schemeClr val="lt1"/>
              </a:solidFill>
              <a:effectLst/>
              <a:latin typeface="+mn-lt"/>
              <a:ea typeface="+mn-ea"/>
              <a:cs typeface="+mn-cs"/>
            </a:rPr>
            <a:t>Förpackningarnas antal är länkade till skördemängden och storleken på försäljningsförpackningarna.</a:t>
          </a:r>
          <a:endParaRPr lang="sv-FI">
            <a:effectLst/>
          </a:endParaRPr>
        </a:p>
      </xdr:txBody>
    </xdr:sp>
    <xdr:clientData/>
  </xdr:twoCellAnchor>
  <xdr:twoCellAnchor>
    <xdr:from>
      <xdr:col>12</xdr:col>
      <xdr:colOff>660400</xdr:colOff>
      <xdr:row>276</xdr:row>
      <xdr:rowOff>12700</xdr:rowOff>
    </xdr:from>
    <xdr:to>
      <xdr:col>16</xdr:col>
      <xdr:colOff>548217</xdr:colOff>
      <xdr:row>284</xdr:row>
      <xdr:rowOff>158750</xdr:rowOff>
    </xdr:to>
    <xdr:sp macro="" textlink="">
      <xdr:nvSpPr>
        <xdr:cNvPr id="10" name="Kuvatekstinuoli vasemmalle 9">
          <a:extLst>
            <a:ext uri="{FF2B5EF4-FFF2-40B4-BE49-F238E27FC236}">
              <a16:creationId xmlns:a16="http://schemas.microsoft.com/office/drawing/2014/main" id="{1A991396-0B16-7340-A222-E40453B05AAA}"/>
            </a:ext>
          </a:extLst>
        </xdr:cNvPr>
        <xdr:cNvSpPr/>
      </xdr:nvSpPr>
      <xdr:spPr>
        <a:xfrm>
          <a:off x="11988800" y="57734200"/>
          <a:ext cx="3443817" cy="1568450"/>
        </a:xfrm>
        <a:prstGeom prst="leftArrow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fi-FI" sz="1100">
              <a:solidFill>
                <a:schemeClr val="lt1"/>
              </a:solidFill>
              <a:effectLst/>
              <a:latin typeface="+mn-lt"/>
              <a:ea typeface="+mn-ea"/>
              <a:cs typeface="+mn-cs"/>
            </a:rPr>
            <a:t>Skördekostnaderna kan endera vara </a:t>
          </a:r>
          <a:r>
            <a:rPr lang="fi-FI" sz="1100" baseline="0">
              <a:solidFill>
                <a:schemeClr val="lt1"/>
              </a:solidFill>
              <a:effectLst/>
              <a:latin typeface="+mn-lt"/>
              <a:ea typeface="+mn-ea"/>
              <a:cs typeface="+mn-cs"/>
            </a:rPr>
            <a:t>€/kg eller €/ha.</a:t>
          </a:r>
          <a:endParaRPr lang="sv-FI">
            <a:effectLst/>
          </a:endParaRPr>
        </a:p>
        <a:p>
          <a:r>
            <a:rPr lang="fi-FI" sz="1100" baseline="0">
              <a:solidFill>
                <a:schemeClr val="lt1"/>
              </a:solidFill>
              <a:effectLst/>
              <a:latin typeface="+mn-lt"/>
              <a:ea typeface="+mn-ea"/>
              <a:cs typeface="+mn-cs"/>
            </a:rPr>
            <a:t>Ifall man använder sig av accordlön, €/kg, bör man fylla i plockade kilogram i tabellen bredvid.</a:t>
          </a:r>
          <a:endParaRPr lang="sv-FI">
            <a:effectLst/>
          </a:endParaRPr>
        </a:p>
        <a:p>
          <a:pPr algn="l"/>
          <a:r>
            <a:rPr lang="fi-FI" sz="1100" baseline="0"/>
            <a:t>.</a:t>
          </a:r>
          <a:endParaRPr lang="fi-FI" sz="1100"/>
        </a:p>
      </xdr:txBody>
    </xdr:sp>
    <xdr:clientData/>
  </xdr:twoCellAnchor>
  <xdr:twoCellAnchor>
    <xdr:from>
      <xdr:col>3</xdr:col>
      <xdr:colOff>35560</xdr:colOff>
      <xdr:row>227</xdr:row>
      <xdr:rowOff>27940</xdr:rowOff>
    </xdr:from>
    <xdr:to>
      <xdr:col>4</xdr:col>
      <xdr:colOff>678180</xdr:colOff>
      <xdr:row>233</xdr:row>
      <xdr:rowOff>15240</xdr:rowOff>
    </xdr:to>
    <xdr:sp macro="" textlink="">
      <xdr:nvSpPr>
        <xdr:cNvPr id="11" name="Kuvatekstinuoli alas 10">
          <a:extLst>
            <a:ext uri="{FF2B5EF4-FFF2-40B4-BE49-F238E27FC236}">
              <a16:creationId xmlns:a16="http://schemas.microsoft.com/office/drawing/2014/main" id="{98EFEA0B-39C4-A645-AFF1-2CF76C439C7C}"/>
            </a:ext>
          </a:extLst>
        </xdr:cNvPr>
        <xdr:cNvSpPr/>
      </xdr:nvSpPr>
      <xdr:spPr>
        <a:xfrm>
          <a:off x="2336800" y="53931820"/>
          <a:ext cx="2197100" cy="1038860"/>
        </a:xfrm>
        <a:prstGeom prst="downArrow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fi-FI" sz="1100">
              <a:solidFill>
                <a:schemeClr val="lt1"/>
              </a:solidFill>
              <a:effectLst/>
              <a:latin typeface="+mn-lt"/>
              <a:ea typeface="+mn-ea"/>
              <a:cs typeface="+mn-cs"/>
            </a:rPr>
            <a:t>Fyll</a:t>
          </a:r>
          <a:r>
            <a:rPr lang="fi-FI" sz="1100" baseline="0">
              <a:solidFill>
                <a:schemeClr val="lt1"/>
              </a:solidFill>
              <a:effectLst/>
              <a:latin typeface="+mn-lt"/>
              <a:ea typeface="+mn-ea"/>
              <a:cs typeface="+mn-cs"/>
            </a:rPr>
            <a:t> här förpackningens storlek i kilogram, endast en siffra, t.ex. 3, ifall det är fråga om en 3 kg påse</a:t>
          </a:r>
          <a:endParaRPr lang="sv-FI">
            <a:effectLst/>
          </a:endParaRPr>
        </a:p>
      </xdr:txBody>
    </xdr:sp>
    <xdr:clientData/>
  </xdr:twoCellAnchor>
  <xdr:twoCellAnchor>
    <xdr:from>
      <xdr:col>10</xdr:col>
      <xdr:colOff>533400</xdr:colOff>
      <xdr:row>228</xdr:row>
      <xdr:rowOff>165100</xdr:rowOff>
    </xdr:from>
    <xdr:to>
      <xdr:col>12</xdr:col>
      <xdr:colOff>444500</xdr:colOff>
      <xdr:row>236</xdr:row>
      <xdr:rowOff>160020</xdr:rowOff>
    </xdr:to>
    <xdr:sp macro="" textlink="">
      <xdr:nvSpPr>
        <xdr:cNvPr id="12" name="Kuvatekstinuoli vasemmalle 11">
          <a:extLst>
            <a:ext uri="{FF2B5EF4-FFF2-40B4-BE49-F238E27FC236}">
              <a16:creationId xmlns:a16="http://schemas.microsoft.com/office/drawing/2014/main" id="{92CB2387-96FB-4E44-B3F1-A892CD5DA4F2}"/>
            </a:ext>
          </a:extLst>
        </xdr:cNvPr>
        <xdr:cNvSpPr/>
      </xdr:nvSpPr>
      <xdr:spPr>
        <a:xfrm>
          <a:off x="8671560" y="54244240"/>
          <a:ext cx="1945640" cy="1397000"/>
        </a:xfrm>
        <a:prstGeom prst="leftArrow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fi-FI" sz="1100">
              <a:solidFill>
                <a:schemeClr val="lt1"/>
              </a:solidFill>
              <a:effectLst/>
              <a:latin typeface="+mn-lt"/>
              <a:ea typeface="+mn-ea"/>
              <a:cs typeface="+mn-cs"/>
            </a:rPr>
            <a:t>Förpackningarnas antal är länkade till skördemängden och storleken på försäljningsförpackningarna.</a:t>
          </a:r>
          <a:endParaRPr lang="sv-FI">
            <a:effectLst/>
          </a:endParaRPr>
        </a:p>
      </xdr:txBody>
    </xdr:sp>
    <xdr:clientData/>
  </xdr:twoCellAnchor>
  <xdr:twoCellAnchor>
    <xdr:from>
      <xdr:col>11</xdr:col>
      <xdr:colOff>1066800</xdr:colOff>
      <xdr:row>13</xdr:row>
      <xdr:rowOff>215900</xdr:rowOff>
    </xdr:from>
    <xdr:to>
      <xdr:col>13</xdr:col>
      <xdr:colOff>355600</xdr:colOff>
      <xdr:row>20</xdr:row>
      <xdr:rowOff>127000</xdr:rowOff>
    </xdr:to>
    <xdr:sp macro="" textlink="">
      <xdr:nvSpPr>
        <xdr:cNvPr id="13" name="Kuvatekstinuoli vasemmalle 12">
          <a:extLst>
            <a:ext uri="{FF2B5EF4-FFF2-40B4-BE49-F238E27FC236}">
              <a16:creationId xmlns:a16="http://schemas.microsoft.com/office/drawing/2014/main" id="{C0169AE0-3D03-D345-9683-A68C4AE6BB2C}"/>
            </a:ext>
          </a:extLst>
        </xdr:cNvPr>
        <xdr:cNvSpPr/>
      </xdr:nvSpPr>
      <xdr:spPr>
        <a:xfrm>
          <a:off x="10871200" y="5626100"/>
          <a:ext cx="1739900" cy="1447800"/>
        </a:xfrm>
        <a:prstGeom prst="leftArrow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fi-FI" sz="1100">
              <a:solidFill>
                <a:schemeClr val="lt1"/>
              </a:solidFill>
              <a:effectLst/>
              <a:latin typeface="+mn-lt"/>
              <a:ea typeface="+mn-ea"/>
              <a:cs typeface="+mn-cs"/>
            </a:rPr>
            <a:t>Etablerings- och röjningsårets kostnader fördelas på skördeåren.</a:t>
          </a:r>
          <a:endParaRPr lang="sv-FI">
            <a:effectLst/>
          </a:endParaRPr>
        </a:p>
      </xdr:txBody>
    </xdr:sp>
    <xdr:clientData/>
  </xdr:twoCellAnchor>
  <xdr:twoCellAnchor>
    <xdr:from>
      <xdr:col>11</xdr:col>
      <xdr:colOff>1244600</xdr:colOff>
      <xdr:row>85</xdr:row>
      <xdr:rowOff>190500</xdr:rowOff>
    </xdr:from>
    <xdr:to>
      <xdr:col>13</xdr:col>
      <xdr:colOff>533400</xdr:colOff>
      <xdr:row>92</xdr:row>
      <xdr:rowOff>63500</xdr:rowOff>
    </xdr:to>
    <xdr:sp macro="" textlink="">
      <xdr:nvSpPr>
        <xdr:cNvPr id="14" name="Kuvatekstinuoli vasemmalle 13">
          <a:extLst>
            <a:ext uri="{FF2B5EF4-FFF2-40B4-BE49-F238E27FC236}">
              <a16:creationId xmlns:a16="http://schemas.microsoft.com/office/drawing/2014/main" id="{6C7D10C2-A255-ED40-9A55-179E93A30122}"/>
            </a:ext>
          </a:extLst>
        </xdr:cNvPr>
        <xdr:cNvSpPr/>
      </xdr:nvSpPr>
      <xdr:spPr>
        <a:xfrm>
          <a:off x="11049000" y="22631400"/>
          <a:ext cx="1739900" cy="1447800"/>
        </a:xfrm>
        <a:prstGeom prst="leftArrow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i-FI" sz="1100">
              <a:solidFill>
                <a:schemeClr val="lt1"/>
              </a:solidFill>
              <a:effectLst/>
              <a:latin typeface="+mn-lt"/>
              <a:ea typeface="+mn-ea"/>
              <a:cs typeface="+mn-cs"/>
            </a:rPr>
            <a:t>Etablerings- och röjningsårets kostnader fördelas på skördeåren</a:t>
          </a:r>
          <a:r>
            <a:rPr lang="fi-FI" sz="1100"/>
            <a:t>.</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3</xdr:col>
      <xdr:colOff>419100</xdr:colOff>
      <xdr:row>154</xdr:row>
      <xdr:rowOff>163810</xdr:rowOff>
    </xdr:from>
    <xdr:to>
      <xdr:col>4</xdr:col>
      <xdr:colOff>754637</xdr:colOff>
      <xdr:row>160</xdr:row>
      <xdr:rowOff>274319</xdr:rowOff>
    </xdr:to>
    <xdr:sp macro="" textlink="">
      <xdr:nvSpPr>
        <xdr:cNvPr id="4" name="Kuvatekstinuoli ylös 3">
          <a:extLst>
            <a:ext uri="{FF2B5EF4-FFF2-40B4-BE49-F238E27FC236}">
              <a16:creationId xmlns:a16="http://schemas.microsoft.com/office/drawing/2014/main" id="{F2951BE7-AAEE-CF4D-8AC7-783D941EF58F}"/>
            </a:ext>
          </a:extLst>
        </xdr:cNvPr>
        <xdr:cNvSpPr/>
      </xdr:nvSpPr>
      <xdr:spPr>
        <a:xfrm>
          <a:off x="2720340" y="37326550"/>
          <a:ext cx="1890017" cy="1146829"/>
        </a:xfrm>
        <a:prstGeom prst="upArrow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fi-FI" sz="1100">
              <a:solidFill>
                <a:schemeClr val="lt1"/>
              </a:solidFill>
              <a:effectLst/>
              <a:latin typeface="+mn-lt"/>
              <a:ea typeface="+mn-ea"/>
              <a:cs typeface="+mn-cs"/>
            </a:rPr>
            <a:t>Det här</a:t>
          </a:r>
          <a:r>
            <a:rPr lang="fi-FI" sz="1100" baseline="0">
              <a:solidFill>
                <a:schemeClr val="lt1"/>
              </a:solidFill>
              <a:effectLst/>
              <a:latin typeface="+mn-lt"/>
              <a:ea typeface="+mn-ea"/>
              <a:cs typeface="+mn-cs"/>
            </a:rPr>
            <a:t> uppskattningen kommer från odlarfamiljens arbetsinsats delat med 2. </a:t>
          </a:r>
          <a:endParaRPr lang="sv-FI">
            <a:effectLst/>
          </a:endParaRPr>
        </a:p>
      </xdr:txBody>
    </xdr:sp>
    <xdr:clientData/>
  </xdr:twoCellAnchor>
  <xdr:twoCellAnchor>
    <xdr:from>
      <xdr:col>12</xdr:col>
      <xdr:colOff>486833</xdr:colOff>
      <xdr:row>380</xdr:row>
      <xdr:rowOff>158749</xdr:rowOff>
    </xdr:from>
    <xdr:to>
      <xdr:col>16</xdr:col>
      <xdr:colOff>374650</xdr:colOff>
      <xdr:row>391</xdr:row>
      <xdr:rowOff>86782</xdr:rowOff>
    </xdr:to>
    <xdr:sp macro="" textlink="">
      <xdr:nvSpPr>
        <xdr:cNvPr id="10" name="Kuvatekstinuoli vasemmalle 9">
          <a:extLst>
            <a:ext uri="{FF2B5EF4-FFF2-40B4-BE49-F238E27FC236}">
              <a16:creationId xmlns:a16="http://schemas.microsoft.com/office/drawing/2014/main" id="{7FAA024E-53E5-A74C-BBC1-EEA002D90213}"/>
            </a:ext>
          </a:extLst>
        </xdr:cNvPr>
        <xdr:cNvSpPr/>
      </xdr:nvSpPr>
      <xdr:spPr>
        <a:xfrm>
          <a:off x="11662833" y="78380166"/>
          <a:ext cx="3295650" cy="1938866"/>
        </a:xfrm>
        <a:prstGeom prst="leftArrow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fi-FI" sz="1100">
              <a:solidFill>
                <a:schemeClr val="lt1"/>
              </a:solidFill>
              <a:effectLst/>
              <a:latin typeface="+mn-lt"/>
              <a:ea typeface="+mn-ea"/>
              <a:cs typeface="+mn-cs"/>
            </a:rPr>
            <a:t>Skördekostnaderna kan endera vara </a:t>
          </a:r>
          <a:r>
            <a:rPr lang="fi-FI" sz="1100" baseline="0">
              <a:solidFill>
                <a:schemeClr val="lt1"/>
              </a:solidFill>
              <a:effectLst/>
              <a:latin typeface="+mn-lt"/>
              <a:ea typeface="+mn-ea"/>
              <a:cs typeface="+mn-cs"/>
            </a:rPr>
            <a:t>€/kg eller €/ha.</a:t>
          </a:r>
          <a:endParaRPr lang="sv-FI">
            <a:effectLst/>
          </a:endParaRPr>
        </a:p>
        <a:p>
          <a:r>
            <a:rPr lang="fi-FI" sz="1100" baseline="0">
              <a:solidFill>
                <a:schemeClr val="lt1"/>
              </a:solidFill>
              <a:effectLst/>
              <a:latin typeface="+mn-lt"/>
              <a:ea typeface="+mn-ea"/>
              <a:cs typeface="+mn-cs"/>
            </a:rPr>
            <a:t>Ifall man använder sig av accordlön, €/kg, bör man fylla i plockade kilogram i tabellen bredvid.</a:t>
          </a:r>
          <a:endParaRPr lang="sv-FI">
            <a:effectLst/>
          </a:endParaRPr>
        </a:p>
      </xdr:txBody>
    </xdr:sp>
    <xdr:clientData/>
  </xdr:twoCellAnchor>
  <xdr:twoCellAnchor>
    <xdr:from>
      <xdr:col>13</xdr:col>
      <xdr:colOff>433917</xdr:colOff>
      <xdr:row>21</xdr:row>
      <xdr:rowOff>21167</xdr:rowOff>
    </xdr:from>
    <xdr:to>
      <xdr:col>22</xdr:col>
      <xdr:colOff>793750</xdr:colOff>
      <xdr:row>55</xdr:row>
      <xdr:rowOff>21166</xdr:rowOff>
    </xdr:to>
    <xdr:graphicFrame macro="">
      <xdr:nvGraphicFramePr>
        <xdr:cNvPr id="11" name="Kaavio 10">
          <a:extLst>
            <a:ext uri="{FF2B5EF4-FFF2-40B4-BE49-F238E27FC236}">
              <a16:creationId xmlns:a16="http://schemas.microsoft.com/office/drawing/2014/main" id="{AC219370-0A85-6140-8191-5E0A71ADBC4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12700</xdr:colOff>
      <xdr:row>335</xdr:row>
      <xdr:rowOff>50800</xdr:rowOff>
    </xdr:from>
    <xdr:to>
      <xdr:col>4</xdr:col>
      <xdr:colOff>662940</xdr:colOff>
      <xdr:row>341</xdr:row>
      <xdr:rowOff>38100</xdr:rowOff>
    </xdr:to>
    <xdr:sp macro="" textlink="">
      <xdr:nvSpPr>
        <xdr:cNvPr id="7" name="Kuvatekstinuoli alas 6">
          <a:extLst>
            <a:ext uri="{FF2B5EF4-FFF2-40B4-BE49-F238E27FC236}">
              <a16:creationId xmlns:a16="http://schemas.microsoft.com/office/drawing/2014/main" id="{23DA9A2A-1673-6046-BBC9-4DE947D06316}"/>
            </a:ext>
          </a:extLst>
        </xdr:cNvPr>
        <xdr:cNvSpPr/>
      </xdr:nvSpPr>
      <xdr:spPr>
        <a:xfrm>
          <a:off x="2313940" y="76586080"/>
          <a:ext cx="2204720" cy="1038860"/>
        </a:xfrm>
        <a:prstGeom prst="downArrow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fi-FI" sz="1100">
              <a:solidFill>
                <a:schemeClr val="lt1"/>
              </a:solidFill>
              <a:effectLst/>
              <a:latin typeface="+mn-lt"/>
              <a:ea typeface="+mn-ea"/>
              <a:cs typeface="+mn-cs"/>
            </a:rPr>
            <a:t>Fyll</a:t>
          </a:r>
          <a:r>
            <a:rPr lang="fi-FI" sz="1100" baseline="0">
              <a:solidFill>
                <a:schemeClr val="lt1"/>
              </a:solidFill>
              <a:effectLst/>
              <a:latin typeface="+mn-lt"/>
              <a:ea typeface="+mn-ea"/>
              <a:cs typeface="+mn-cs"/>
            </a:rPr>
            <a:t> här förpackningens storlek i kilogram, endast en siffra, t.ex. 3, ifall det är fråga om en 3 kg påse</a:t>
          </a:r>
          <a:endParaRPr lang="sv-FI">
            <a:effectLst/>
          </a:endParaRPr>
        </a:p>
      </xdr:txBody>
    </xdr:sp>
    <xdr:clientData/>
  </xdr:twoCellAnchor>
  <xdr:twoCellAnchor>
    <xdr:from>
      <xdr:col>11</xdr:col>
      <xdr:colOff>0</xdr:colOff>
      <xdr:row>337</xdr:row>
      <xdr:rowOff>0</xdr:rowOff>
    </xdr:from>
    <xdr:to>
      <xdr:col>12</xdr:col>
      <xdr:colOff>647700</xdr:colOff>
      <xdr:row>343</xdr:row>
      <xdr:rowOff>137160</xdr:rowOff>
    </xdr:to>
    <xdr:sp macro="" textlink="">
      <xdr:nvSpPr>
        <xdr:cNvPr id="8" name="Kuvatekstinuoli vasemmalle 7">
          <a:extLst>
            <a:ext uri="{FF2B5EF4-FFF2-40B4-BE49-F238E27FC236}">
              <a16:creationId xmlns:a16="http://schemas.microsoft.com/office/drawing/2014/main" id="{988B7C80-47F5-074A-A96D-7E675BF51F77}"/>
            </a:ext>
          </a:extLst>
        </xdr:cNvPr>
        <xdr:cNvSpPr/>
      </xdr:nvSpPr>
      <xdr:spPr>
        <a:xfrm>
          <a:off x="8801100" y="76885800"/>
          <a:ext cx="2019300" cy="1188720"/>
        </a:xfrm>
        <a:prstGeom prst="leftArrow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fi-FI" sz="1100">
              <a:solidFill>
                <a:schemeClr val="lt1"/>
              </a:solidFill>
              <a:effectLst/>
              <a:latin typeface="+mn-lt"/>
              <a:ea typeface="+mn-ea"/>
              <a:cs typeface="+mn-cs"/>
            </a:rPr>
            <a:t>Förpackningarnas antal är länkade till skördemängden och storleken på försäljningsförpackningarna.</a:t>
          </a:r>
          <a:endParaRPr lang="sv-FI">
            <a:effectLst/>
          </a:endParaRPr>
        </a:p>
      </xdr:txBody>
    </xdr:sp>
    <xdr:clientData/>
  </xdr:twoCellAnchor>
  <xdr:twoCellAnchor>
    <xdr:from>
      <xdr:col>3</xdr:col>
      <xdr:colOff>12700</xdr:colOff>
      <xdr:row>231</xdr:row>
      <xdr:rowOff>50800</xdr:rowOff>
    </xdr:from>
    <xdr:to>
      <xdr:col>4</xdr:col>
      <xdr:colOff>495300</xdr:colOff>
      <xdr:row>237</xdr:row>
      <xdr:rowOff>38100</xdr:rowOff>
    </xdr:to>
    <xdr:sp macro="" textlink="">
      <xdr:nvSpPr>
        <xdr:cNvPr id="12" name="Kuvatekstinuoli alas 11">
          <a:extLst>
            <a:ext uri="{FF2B5EF4-FFF2-40B4-BE49-F238E27FC236}">
              <a16:creationId xmlns:a16="http://schemas.microsoft.com/office/drawing/2014/main" id="{7D1F960B-E9A9-144C-B944-60156F2DCC78}"/>
            </a:ext>
          </a:extLst>
        </xdr:cNvPr>
        <xdr:cNvSpPr/>
      </xdr:nvSpPr>
      <xdr:spPr>
        <a:xfrm>
          <a:off x="2578100" y="77787500"/>
          <a:ext cx="2209800" cy="1054100"/>
        </a:xfrm>
        <a:prstGeom prst="downArrow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fi-FI" sz="1100">
              <a:solidFill>
                <a:schemeClr val="lt1"/>
              </a:solidFill>
              <a:effectLst/>
              <a:latin typeface="+mn-lt"/>
              <a:ea typeface="+mn-ea"/>
              <a:cs typeface="+mn-cs"/>
            </a:rPr>
            <a:t>Fyll</a:t>
          </a:r>
          <a:r>
            <a:rPr lang="fi-FI" sz="1100" baseline="0">
              <a:solidFill>
                <a:schemeClr val="lt1"/>
              </a:solidFill>
              <a:effectLst/>
              <a:latin typeface="+mn-lt"/>
              <a:ea typeface="+mn-ea"/>
              <a:cs typeface="+mn-cs"/>
            </a:rPr>
            <a:t> här förpackningens storlek i kilogram, endast en siffra, t.ex. 3, ifall det är fråga om en 3 kg påse</a:t>
          </a:r>
          <a:endParaRPr lang="sv-FI">
            <a:effectLst/>
          </a:endParaRPr>
        </a:p>
      </xdr:txBody>
    </xdr:sp>
    <xdr:clientData/>
  </xdr:twoCellAnchor>
  <xdr:twoCellAnchor>
    <xdr:from>
      <xdr:col>11</xdr:col>
      <xdr:colOff>0</xdr:colOff>
      <xdr:row>231</xdr:row>
      <xdr:rowOff>38100</xdr:rowOff>
    </xdr:from>
    <xdr:to>
      <xdr:col>12</xdr:col>
      <xdr:colOff>647700</xdr:colOff>
      <xdr:row>239</xdr:row>
      <xdr:rowOff>50800</xdr:rowOff>
    </xdr:to>
    <xdr:sp macro="" textlink="">
      <xdr:nvSpPr>
        <xdr:cNvPr id="13" name="Kuvatekstinuoli vasemmalle 12">
          <a:extLst>
            <a:ext uri="{FF2B5EF4-FFF2-40B4-BE49-F238E27FC236}">
              <a16:creationId xmlns:a16="http://schemas.microsoft.com/office/drawing/2014/main" id="{A22EF41B-4918-2246-90C9-CC6C61AD5C95}"/>
            </a:ext>
          </a:extLst>
        </xdr:cNvPr>
        <xdr:cNvSpPr/>
      </xdr:nvSpPr>
      <xdr:spPr>
        <a:xfrm>
          <a:off x="8801100" y="54444900"/>
          <a:ext cx="2019300" cy="1414780"/>
        </a:xfrm>
        <a:prstGeom prst="leftArrow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fi-FI" sz="1100">
              <a:solidFill>
                <a:schemeClr val="lt1"/>
              </a:solidFill>
              <a:effectLst/>
              <a:latin typeface="+mn-lt"/>
              <a:ea typeface="+mn-ea"/>
              <a:cs typeface="+mn-cs"/>
            </a:rPr>
            <a:t>Förpackningarnas antal är länkade till skördemängden och storleken på försäljningsförpackningarna.</a:t>
          </a:r>
          <a:endParaRPr lang="sv-FI">
            <a:effectLst/>
          </a:endParaRPr>
        </a:p>
      </xdr:txBody>
    </xdr:sp>
    <xdr:clientData/>
  </xdr:twoCellAnchor>
  <xdr:twoCellAnchor>
    <xdr:from>
      <xdr:col>11</xdr:col>
      <xdr:colOff>584200</xdr:colOff>
      <xdr:row>14</xdr:row>
      <xdr:rowOff>76200</xdr:rowOff>
    </xdr:from>
    <xdr:to>
      <xdr:col>12</xdr:col>
      <xdr:colOff>800100</xdr:colOff>
      <xdr:row>21</xdr:row>
      <xdr:rowOff>25400</xdr:rowOff>
    </xdr:to>
    <xdr:sp macro="" textlink="">
      <xdr:nvSpPr>
        <xdr:cNvPr id="14" name="Kuvatekstinuoli vasemmalle 13">
          <a:extLst>
            <a:ext uri="{FF2B5EF4-FFF2-40B4-BE49-F238E27FC236}">
              <a16:creationId xmlns:a16="http://schemas.microsoft.com/office/drawing/2014/main" id="{C599F780-3391-204C-8828-8F41C8A52B9C}"/>
            </a:ext>
          </a:extLst>
        </xdr:cNvPr>
        <xdr:cNvSpPr/>
      </xdr:nvSpPr>
      <xdr:spPr>
        <a:xfrm>
          <a:off x="10388600" y="5588000"/>
          <a:ext cx="1739900" cy="1447800"/>
        </a:xfrm>
        <a:prstGeom prst="leftArrow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fi-FI" sz="1100">
              <a:solidFill>
                <a:schemeClr val="lt1"/>
              </a:solidFill>
              <a:effectLst/>
              <a:latin typeface="+mn-lt"/>
              <a:ea typeface="+mn-ea"/>
              <a:cs typeface="+mn-cs"/>
            </a:rPr>
            <a:t>Etablerings- och röjningsårets kostnader fördelas på skördeåren.</a:t>
          </a:r>
          <a:endParaRPr lang="sv-FI">
            <a:effectLst/>
          </a:endParaRPr>
        </a:p>
      </xdr:txBody>
    </xdr:sp>
    <xdr:clientData/>
  </xdr:twoCellAnchor>
  <xdr:twoCellAnchor>
    <xdr:from>
      <xdr:col>11</xdr:col>
      <xdr:colOff>533400</xdr:colOff>
      <xdr:row>87</xdr:row>
      <xdr:rowOff>25400</xdr:rowOff>
    </xdr:from>
    <xdr:to>
      <xdr:col>12</xdr:col>
      <xdr:colOff>749300</xdr:colOff>
      <xdr:row>93</xdr:row>
      <xdr:rowOff>152400</xdr:rowOff>
    </xdr:to>
    <xdr:sp macro="" textlink="">
      <xdr:nvSpPr>
        <xdr:cNvPr id="15" name="Kuvatekstinuoli vasemmalle 14">
          <a:extLst>
            <a:ext uri="{FF2B5EF4-FFF2-40B4-BE49-F238E27FC236}">
              <a16:creationId xmlns:a16="http://schemas.microsoft.com/office/drawing/2014/main" id="{3F364262-A27B-5547-ABBC-9F2CCF3276EF}"/>
            </a:ext>
          </a:extLst>
        </xdr:cNvPr>
        <xdr:cNvSpPr/>
      </xdr:nvSpPr>
      <xdr:spPr>
        <a:xfrm>
          <a:off x="10337800" y="22809200"/>
          <a:ext cx="1739900" cy="1447800"/>
        </a:xfrm>
        <a:prstGeom prst="leftArrow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fi-FI" sz="1100">
              <a:solidFill>
                <a:schemeClr val="lt1"/>
              </a:solidFill>
              <a:effectLst/>
              <a:latin typeface="+mn-lt"/>
              <a:ea typeface="+mn-ea"/>
              <a:cs typeface="+mn-cs"/>
            </a:rPr>
            <a:t>Etablerings- och röjningsårets kostnader fördelas på skördeåren.</a:t>
          </a:r>
          <a:endParaRPr lang="sv-FI">
            <a:effectLst/>
          </a:endParaRPr>
        </a:p>
        <a:p>
          <a:pPr algn="l"/>
          <a:r>
            <a:rPr lang="fi-FI" sz="1100"/>
            <a: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243416</xdr:colOff>
      <xdr:row>37</xdr:row>
      <xdr:rowOff>88900</xdr:rowOff>
    </xdr:from>
    <xdr:to>
      <xdr:col>7</xdr:col>
      <xdr:colOff>222250</xdr:colOff>
      <xdr:row>40</xdr:row>
      <xdr:rowOff>201083</xdr:rowOff>
    </xdr:to>
    <xdr:sp macro="" textlink="">
      <xdr:nvSpPr>
        <xdr:cNvPr id="2" name="Kuvatekstinuoli alas 1">
          <a:extLst>
            <a:ext uri="{FF2B5EF4-FFF2-40B4-BE49-F238E27FC236}">
              <a16:creationId xmlns:a16="http://schemas.microsoft.com/office/drawing/2014/main" id="{7EA51C18-4C07-4947-9D14-3BECDF1C08D3}"/>
            </a:ext>
          </a:extLst>
        </xdr:cNvPr>
        <xdr:cNvSpPr/>
      </xdr:nvSpPr>
      <xdr:spPr>
        <a:xfrm>
          <a:off x="5767916" y="10610850"/>
          <a:ext cx="1242484" cy="1013883"/>
        </a:xfrm>
        <a:prstGeom prst="downArrow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i-FI" sz="1100"/>
            <a:t>Tillsätt</a:t>
          </a:r>
          <a:r>
            <a:rPr lang="fi-FI" sz="1100" baseline="0"/>
            <a:t> medelpriset för arrendeåkern här</a:t>
          </a:r>
          <a:endParaRPr lang="fi-FI"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3</xdr:col>
      <xdr:colOff>365760</xdr:colOff>
      <xdr:row>113</xdr:row>
      <xdr:rowOff>36811</xdr:rowOff>
    </xdr:from>
    <xdr:to>
      <xdr:col>4</xdr:col>
      <xdr:colOff>754637</xdr:colOff>
      <xdr:row>118</xdr:row>
      <xdr:rowOff>147246</xdr:rowOff>
    </xdr:to>
    <xdr:sp macro="" textlink="">
      <xdr:nvSpPr>
        <xdr:cNvPr id="2" name="Kuvatekstinuoli ylös 1">
          <a:extLst>
            <a:ext uri="{FF2B5EF4-FFF2-40B4-BE49-F238E27FC236}">
              <a16:creationId xmlns:a16="http://schemas.microsoft.com/office/drawing/2014/main" id="{48602599-238E-9B47-9B09-D48B703CB88C}"/>
            </a:ext>
          </a:extLst>
        </xdr:cNvPr>
        <xdr:cNvSpPr/>
      </xdr:nvSpPr>
      <xdr:spPr>
        <a:xfrm>
          <a:off x="2667000" y="26455351"/>
          <a:ext cx="1943357" cy="979115"/>
        </a:xfrm>
        <a:prstGeom prst="upArrow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fi-FI" sz="1100">
              <a:solidFill>
                <a:schemeClr val="lt1"/>
              </a:solidFill>
              <a:effectLst/>
              <a:latin typeface="+mn-lt"/>
              <a:ea typeface="+mn-ea"/>
              <a:cs typeface="+mn-cs"/>
            </a:rPr>
            <a:t>Det här</a:t>
          </a:r>
          <a:r>
            <a:rPr lang="fi-FI" sz="1100" baseline="0">
              <a:solidFill>
                <a:schemeClr val="lt1"/>
              </a:solidFill>
              <a:effectLst/>
              <a:latin typeface="+mn-lt"/>
              <a:ea typeface="+mn-ea"/>
              <a:cs typeface="+mn-cs"/>
            </a:rPr>
            <a:t> uppskattningen kommer från odlarfamiljens arbetsinsats delat med 2. </a:t>
          </a:r>
          <a:endParaRPr lang="sv-FI">
            <a:effectLst/>
          </a:endParaRPr>
        </a:p>
      </xdr:txBody>
    </xdr:sp>
    <xdr:clientData/>
  </xdr:twoCellAnchor>
  <xdr:twoCellAnchor>
    <xdr:from>
      <xdr:col>13</xdr:col>
      <xdr:colOff>577850</xdr:colOff>
      <xdr:row>5</xdr:row>
      <xdr:rowOff>0</xdr:rowOff>
    </xdr:from>
    <xdr:to>
      <xdr:col>25</xdr:col>
      <xdr:colOff>292100</xdr:colOff>
      <xdr:row>39</xdr:row>
      <xdr:rowOff>203200</xdr:rowOff>
    </xdr:to>
    <xdr:graphicFrame macro="">
      <xdr:nvGraphicFramePr>
        <xdr:cNvPr id="3" name="Kaavio 2">
          <a:extLst>
            <a:ext uri="{FF2B5EF4-FFF2-40B4-BE49-F238E27FC236}">
              <a16:creationId xmlns:a16="http://schemas.microsoft.com/office/drawing/2014/main" id="{C75135D5-A250-484E-91FF-662C5011D5C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2</xdr:col>
      <xdr:colOff>1104900</xdr:colOff>
      <xdr:row>113</xdr:row>
      <xdr:rowOff>90151</xdr:rowOff>
    </xdr:from>
    <xdr:to>
      <xdr:col>4</xdr:col>
      <xdr:colOff>586997</xdr:colOff>
      <xdr:row>119</xdr:row>
      <xdr:rowOff>32946</xdr:rowOff>
    </xdr:to>
    <xdr:sp macro="" textlink="">
      <xdr:nvSpPr>
        <xdr:cNvPr id="2" name="Kuvatekstinuoli ylös 1">
          <a:extLst>
            <a:ext uri="{FF2B5EF4-FFF2-40B4-BE49-F238E27FC236}">
              <a16:creationId xmlns:a16="http://schemas.microsoft.com/office/drawing/2014/main" id="{78502FC8-A1BD-454E-B3F4-8A8CD2AD9236}"/>
            </a:ext>
          </a:extLst>
        </xdr:cNvPr>
        <xdr:cNvSpPr/>
      </xdr:nvSpPr>
      <xdr:spPr>
        <a:xfrm>
          <a:off x="2255520" y="26440111"/>
          <a:ext cx="2187197" cy="979115"/>
        </a:xfrm>
        <a:prstGeom prst="upArrow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fi-FI" sz="1100">
              <a:solidFill>
                <a:schemeClr val="lt1"/>
              </a:solidFill>
              <a:effectLst/>
              <a:latin typeface="+mn-lt"/>
              <a:ea typeface="+mn-ea"/>
              <a:cs typeface="+mn-cs"/>
            </a:rPr>
            <a:t>Det här</a:t>
          </a:r>
          <a:r>
            <a:rPr lang="fi-FI" sz="1100" baseline="0">
              <a:solidFill>
                <a:schemeClr val="lt1"/>
              </a:solidFill>
              <a:effectLst/>
              <a:latin typeface="+mn-lt"/>
              <a:ea typeface="+mn-ea"/>
              <a:cs typeface="+mn-cs"/>
            </a:rPr>
            <a:t> uppskattningen kommer från odlarfamiljens arbetsinsats delat med 2. </a:t>
          </a:r>
          <a:endParaRPr lang="sv-FI">
            <a:effectLst/>
          </a:endParaRPr>
        </a:p>
      </xdr:txBody>
    </xdr:sp>
    <xdr:clientData/>
  </xdr:twoCellAnchor>
  <xdr:twoCellAnchor>
    <xdr:from>
      <xdr:col>13</xdr:col>
      <xdr:colOff>520700</xdr:colOff>
      <xdr:row>4</xdr:row>
      <xdr:rowOff>330200</xdr:rowOff>
    </xdr:from>
    <xdr:to>
      <xdr:col>24</xdr:col>
      <xdr:colOff>482600</xdr:colOff>
      <xdr:row>36</xdr:row>
      <xdr:rowOff>101600</xdr:rowOff>
    </xdr:to>
    <xdr:graphicFrame macro="">
      <xdr:nvGraphicFramePr>
        <xdr:cNvPr id="4" name="Kaavio 3">
          <a:extLst>
            <a:ext uri="{FF2B5EF4-FFF2-40B4-BE49-F238E27FC236}">
              <a16:creationId xmlns:a16="http://schemas.microsoft.com/office/drawing/2014/main" id="{C1161033-6CF1-E649-8BF5-BC374B247C3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3</xdr:col>
      <xdr:colOff>426720</xdr:colOff>
      <xdr:row>113</xdr:row>
      <xdr:rowOff>36811</xdr:rowOff>
    </xdr:from>
    <xdr:to>
      <xdr:col>4</xdr:col>
      <xdr:colOff>754637</xdr:colOff>
      <xdr:row>118</xdr:row>
      <xdr:rowOff>147246</xdr:rowOff>
    </xdr:to>
    <xdr:sp macro="" textlink="">
      <xdr:nvSpPr>
        <xdr:cNvPr id="2" name="Kuvatekstinuoli ylös 1">
          <a:extLst>
            <a:ext uri="{FF2B5EF4-FFF2-40B4-BE49-F238E27FC236}">
              <a16:creationId xmlns:a16="http://schemas.microsoft.com/office/drawing/2014/main" id="{C669ED2B-2B8E-7642-84C8-4590E8D0A266}"/>
            </a:ext>
          </a:extLst>
        </xdr:cNvPr>
        <xdr:cNvSpPr/>
      </xdr:nvSpPr>
      <xdr:spPr>
        <a:xfrm>
          <a:off x="2727960" y="26569651"/>
          <a:ext cx="1882397" cy="979115"/>
        </a:xfrm>
        <a:prstGeom prst="upArrow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fi-FI" sz="1100">
              <a:solidFill>
                <a:schemeClr val="lt1"/>
              </a:solidFill>
              <a:effectLst/>
              <a:latin typeface="+mn-lt"/>
              <a:ea typeface="+mn-ea"/>
              <a:cs typeface="+mn-cs"/>
            </a:rPr>
            <a:t>Det här</a:t>
          </a:r>
          <a:r>
            <a:rPr lang="fi-FI" sz="1100" baseline="0">
              <a:solidFill>
                <a:schemeClr val="lt1"/>
              </a:solidFill>
              <a:effectLst/>
              <a:latin typeface="+mn-lt"/>
              <a:ea typeface="+mn-ea"/>
              <a:cs typeface="+mn-cs"/>
            </a:rPr>
            <a:t> uppskattningen kommer från odlarfamiljens arbetsinsats delat med 2. </a:t>
          </a:r>
          <a:endParaRPr lang="sv-FI">
            <a:effectLst/>
          </a:endParaRPr>
        </a:p>
      </xdr:txBody>
    </xdr:sp>
    <xdr:clientData/>
  </xdr:twoCellAnchor>
  <xdr:twoCellAnchor>
    <xdr:from>
      <xdr:col>14</xdr:col>
      <xdr:colOff>12700</xdr:colOff>
      <xdr:row>4</xdr:row>
      <xdr:rowOff>330200</xdr:rowOff>
    </xdr:from>
    <xdr:to>
      <xdr:col>25</xdr:col>
      <xdr:colOff>482600</xdr:colOff>
      <xdr:row>36</xdr:row>
      <xdr:rowOff>114300</xdr:rowOff>
    </xdr:to>
    <xdr:graphicFrame macro="">
      <xdr:nvGraphicFramePr>
        <xdr:cNvPr id="6" name="Kaavio 5">
          <a:extLst>
            <a:ext uri="{FF2B5EF4-FFF2-40B4-BE49-F238E27FC236}">
              <a16:creationId xmlns:a16="http://schemas.microsoft.com/office/drawing/2014/main" id="{1F691E09-9565-6F43-B023-0E0B9C18D75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3</xdr:col>
      <xdr:colOff>518160</xdr:colOff>
      <xdr:row>113</xdr:row>
      <xdr:rowOff>52051</xdr:rowOff>
    </xdr:from>
    <xdr:to>
      <xdr:col>4</xdr:col>
      <xdr:colOff>777497</xdr:colOff>
      <xdr:row>118</xdr:row>
      <xdr:rowOff>162486</xdr:rowOff>
    </xdr:to>
    <xdr:sp macro="" textlink="">
      <xdr:nvSpPr>
        <xdr:cNvPr id="2" name="Kuvatekstinuoli ylös 1">
          <a:extLst>
            <a:ext uri="{FF2B5EF4-FFF2-40B4-BE49-F238E27FC236}">
              <a16:creationId xmlns:a16="http://schemas.microsoft.com/office/drawing/2014/main" id="{50727FF4-F506-BE49-B557-7F0642577BA7}"/>
            </a:ext>
          </a:extLst>
        </xdr:cNvPr>
        <xdr:cNvSpPr/>
      </xdr:nvSpPr>
      <xdr:spPr>
        <a:xfrm>
          <a:off x="2819400" y="26584891"/>
          <a:ext cx="1813817" cy="979115"/>
        </a:xfrm>
        <a:prstGeom prst="upArrow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fi-FI" sz="1100">
              <a:solidFill>
                <a:schemeClr val="lt1"/>
              </a:solidFill>
              <a:effectLst/>
              <a:latin typeface="+mn-lt"/>
              <a:ea typeface="+mn-ea"/>
              <a:cs typeface="+mn-cs"/>
            </a:rPr>
            <a:t>Det här</a:t>
          </a:r>
          <a:r>
            <a:rPr lang="fi-FI" sz="1100" baseline="0">
              <a:solidFill>
                <a:schemeClr val="lt1"/>
              </a:solidFill>
              <a:effectLst/>
              <a:latin typeface="+mn-lt"/>
              <a:ea typeface="+mn-ea"/>
              <a:cs typeface="+mn-cs"/>
            </a:rPr>
            <a:t> uppskattningen kommer från odlarfamiljens arbetsinsats delat med 2. </a:t>
          </a:r>
          <a:endParaRPr lang="sv-FI">
            <a:effectLst/>
          </a:endParaRPr>
        </a:p>
      </xdr:txBody>
    </xdr:sp>
    <xdr:clientData/>
  </xdr:twoCellAnchor>
  <xdr:twoCellAnchor>
    <xdr:from>
      <xdr:col>14</xdr:col>
      <xdr:colOff>12700</xdr:colOff>
      <xdr:row>4</xdr:row>
      <xdr:rowOff>330200</xdr:rowOff>
    </xdr:from>
    <xdr:to>
      <xdr:col>25</xdr:col>
      <xdr:colOff>482600</xdr:colOff>
      <xdr:row>36</xdr:row>
      <xdr:rowOff>114300</xdr:rowOff>
    </xdr:to>
    <xdr:graphicFrame macro="">
      <xdr:nvGraphicFramePr>
        <xdr:cNvPr id="3" name="Kaavio 2">
          <a:extLst>
            <a:ext uri="{FF2B5EF4-FFF2-40B4-BE49-F238E27FC236}">
              <a16:creationId xmlns:a16="http://schemas.microsoft.com/office/drawing/2014/main" id="{5AC21215-68BD-2940-9735-89B06C2C13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3</xdr:col>
      <xdr:colOff>365760</xdr:colOff>
      <xdr:row>109</xdr:row>
      <xdr:rowOff>36811</xdr:rowOff>
    </xdr:from>
    <xdr:to>
      <xdr:col>4</xdr:col>
      <xdr:colOff>754637</xdr:colOff>
      <xdr:row>114</xdr:row>
      <xdr:rowOff>147246</xdr:rowOff>
    </xdr:to>
    <xdr:sp macro="" textlink="">
      <xdr:nvSpPr>
        <xdr:cNvPr id="3" name="Kuvatekstinuoli ylös 2">
          <a:extLst>
            <a:ext uri="{FF2B5EF4-FFF2-40B4-BE49-F238E27FC236}">
              <a16:creationId xmlns:a16="http://schemas.microsoft.com/office/drawing/2014/main" id="{E431336F-B292-2746-843F-3E0661A41A3A}"/>
            </a:ext>
          </a:extLst>
        </xdr:cNvPr>
        <xdr:cNvSpPr/>
      </xdr:nvSpPr>
      <xdr:spPr>
        <a:xfrm>
          <a:off x="2667000" y="25655251"/>
          <a:ext cx="1943357" cy="979115"/>
        </a:xfrm>
        <a:prstGeom prst="upArrow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fi-FI" sz="1100">
              <a:solidFill>
                <a:schemeClr val="lt1"/>
              </a:solidFill>
              <a:effectLst/>
              <a:latin typeface="+mn-lt"/>
              <a:ea typeface="+mn-ea"/>
              <a:cs typeface="+mn-cs"/>
            </a:rPr>
            <a:t>Det här</a:t>
          </a:r>
          <a:r>
            <a:rPr lang="fi-FI" sz="1100" baseline="0">
              <a:solidFill>
                <a:schemeClr val="lt1"/>
              </a:solidFill>
              <a:effectLst/>
              <a:latin typeface="+mn-lt"/>
              <a:ea typeface="+mn-ea"/>
              <a:cs typeface="+mn-cs"/>
            </a:rPr>
            <a:t> uppskattningen kommer från odlarfamiljens arbetsinsats delat med 2. </a:t>
          </a:r>
          <a:endParaRPr lang="sv-FI">
            <a:effectLst/>
          </a:endParaRPr>
        </a:p>
      </xdr:txBody>
    </xdr:sp>
    <xdr:clientData/>
  </xdr:twoCellAnchor>
  <xdr:twoCellAnchor>
    <xdr:from>
      <xdr:col>13</xdr:col>
      <xdr:colOff>673100</xdr:colOff>
      <xdr:row>19</xdr:row>
      <xdr:rowOff>171450</xdr:rowOff>
    </xdr:from>
    <xdr:to>
      <xdr:col>26</xdr:col>
      <xdr:colOff>254000</xdr:colOff>
      <xdr:row>50</xdr:row>
      <xdr:rowOff>165100</xdr:rowOff>
    </xdr:to>
    <xdr:graphicFrame macro="">
      <xdr:nvGraphicFramePr>
        <xdr:cNvPr id="4" name="Kaavio 3">
          <a:extLst>
            <a:ext uri="{FF2B5EF4-FFF2-40B4-BE49-F238E27FC236}">
              <a16:creationId xmlns:a16="http://schemas.microsoft.com/office/drawing/2014/main" id="{ED000A9B-C7CD-3641-9E45-B9B7A4D0837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3</xdr:col>
      <xdr:colOff>365760</xdr:colOff>
      <xdr:row>109</xdr:row>
      <xdr:rowOff>36811</xdr:rowOff>
    </xdr:from>
    <xdr:to>
      <xdr:col>4</xdr:col>
      <xdr:colOff>754637</xdr:colOff>
      <xdr:row>114</xdr:row>
      <xdr:rowOff>147246</xdr:rowOff>
    </xdr:to>
    <xdr:sp macro="" textlink="">
      <xdr:nvSpPr>
        <xdr:cNvPr id="2" name="Kuvatekstinuoli ylös 1">
          <a:extLst>
            <a:ext uri="{FF2B5EF4-FFF2-40B4-BE49-F238E27FC236}">
              <a16:creationId xmlns:a16="http://schemas.microsoft.com/office/drawing/2014/main" id="{F2D89EE2-3DBB-0741-81B0-46479B500640}"/>
            </a:ext>
          </a:extLst>
        </xdr:cNvPr>
        <xdr:cNvSpPr/>
      </xdr:nvSpPr>
      <xdr:spPr>
        <a:xfrm>
          <a:off x="2667000" y="25655251"/>
          <a:ext cx="1943357" cy="979115"/>
        </a:xfrm>
        <a:prstGeom prst="upArrow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fi-FI" sz="1100">
              <a:solidFill>
                <a:schemeClr val="lt1"/>
              </a:solidFill>
              <a:effectLst/>
              <a:latin typeface="+mn-lt"/>
              <a:ea typeface="+mn-ea"/>
              <a:cs typeface="+mn-cs"/>
            </a:rPr>
            <a:t>Det här</a:t>
          </a:r>
          <a:r>
            <a:rPr lang="fi-FI" sz="1100" baseline="0">
              <a:solidFill>
                <a:schemeClr val="lt1"/>
              </a:solidFill>
              <a:effectLst/>
              <a:latin typeface="+mn-lt"/>
              <a:ea typeface="+mn-ea"/>
              <a:cs typeface="+mn-cs"/>
            </a:rPr>
            <a:t> uppskattningen kommer från odlarfamiljens arbetsinsats delat med 2. </a:t>
          </a:r>
          <a:endParaRPr lang="sv-FI">
            <a:effectLst/>
          </a:endParaRPr>
        </a:p>
        <a:p>
          <a:pPr algn="l"/>
          <a:r>
            <a:rPr lang="fi-FI" sz="1100" baseline="0"/>
            <a:t>.</a:t>
          </a:r>
          <a:endParaRPr lang="fi-FI" sz="1100"/>
        </a:p>
      </xdr:txBody>
    </xdr:sp>
    <xdr:clientData/>
  </xdr:twoCellAnchor>
  <xdr:twoCellAnchor>
    <xdr:from>
      <xdr:col>13</xdr:col>
      <xdr:colOff>673100</xdr:colOff>
      <xdr:row>19</xdr:row>
      <xdr:rowOff>171450</xdr:rowOff>
    </xdr:from>
    <xdr:to>
      <xdr:col>26</xdr:col>
      <xdr:colOff>254000</xdr:colOff>
      <xdr:row>50</xdr:row>
      <xdr:rowOff>165100</xdr:rowOff>
    </xdr:to>
    <xdr:graphicFrame macro="">
      <xdr:nvGraphicFramePr>
        <xdr:cNvPr id="3" name="Kaavio 2">
          <a:extLst>
            <a:ext uri="{FF2B5EF4-FFF2-40B4-BE49-F238E27FC236}">
              <a16:creationId xmlns:a16="http://schemas.microsoft.com/office/drawing/2014/main" id="{A1E02158-59CC-3848-A946-2D76201EC2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11</xdr:col>
      <xdr:colOff>502226</xdr:colOff>
      <xdr:row>45</xdr:row>
      <xdr:rowOff>25398</xdr:rowOff>
    </xdr:from>
    <xdr:to>
      <xdr:col>20</xdr:col>
      <xdr:colOff>819727</xdr:colOff>
      <xdr:row>81</xdr:row>
      <xdr:rowOff>138545</xdr:rowOff>
    </xdr:to>
    <xdr:graphicFrame macro="">
      <xdr:nvGraphicFramePr>
        <xdr:cNvPr id="10" name="Kaavio 9">
          <a:extLst>
            <a:ext uri="{FF2B5EF4-FFF2-40B4-BE49-F238E27FC236}">
              <a16:creationId xmlns:a16="http://schemas.microsoft.com/office/drawing/2014/main" id="{7DF67140-BD10-2E43-9698-1B3443A8549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531090</xdr:colOff>
      <xdr:row>84</xdr:row>
      <xdr:rowOff>80818</xdr:rowOff>
    </xdr:from>
    <xdr:to>
      <xdr:col>21</xdr:col>
      <xdr:colOff>23091</xdr:colOff>
      <xdr:row>124</xdr:row>
      <xdr:rowOff>207818</xdr:rowOff>
    </xdr:to>
    <xdr:graphicFrame macro="">
      <xdr:nvGraphicFramePr>
        <xdr:cNvPr id="11" name="Kaavio 10">
          <a:extLst>
            <a:ext uri="{FF2B5EF4-FFF2-40B4-BE49-F238E27FC236}">
              <a16:creationId xmlns:a16="http://schemas.microsoft.com/office/drawing/2014/main" id="{D5A53749-1D89-7843-AEAA-CE2407A98B8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490682</xdr:colOff>
      <xdr:row>126</xdr:row>
      <xdr:rowOff>196273</xdr:rowOff>
    </xdr:from>
    <xdr:to>
      <xdr:col>21</xdr:col>
      <xdr:colOff>57727</xdr:colOff>
      <xdr:row>166</xdr:row>
      <xdr:rowOff>23091</xdr:rowOff>
    </xdr:to>
    <xdr:graphicFrame macro="">
      <xdr:nvGraphicFramePr>
        <xdr:cNvPr id="12" name="Kaavio 11">
          <a:extLst>
            <a:ext uri="{FF2B5EF4-FFF2-40B4-BE49-F238E27FC236}">
              <a16:creationId xmlns:a16="http://schemas.microsoft.com/office/drawing/2014/main" id="{E669E43B-AB27-DE46-BD3A-A65C53E5D88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755650</xdr:colOff>
      <xdr:row>2</xdr:row>
      <xdr:rowOff>57150</xdr:rowOff>
    </xdr:from>
    <xdr:to>
      <xdr:col>21</xdr:col>
      <xdr:colOff>127000</xdr:colOff>
      <xdr:row>36</xdr:row>
      <xdr:rowOff>152400</xdr:rowOff>
    </xdr:to>
    <xdr:graphicFrame macro="">
      <xdr:nvGraphicFramePr>
        <xdr:cNvPr id="5" name="Kaavio 4">
          <a:extLst>
            <a:ext uri="{FF2B5EF4-FFF2-40B4-BE49-F238E27FC236}">
              <a16:creationId xmlns:a16="http://schemas.microsoft.com/office/drawing/2014/main" id="{A9FC3684-7796-904D-ADEC-B51FDAED4EA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655320</xdr:colOff>
      <xdr:row>141</xdr:row>
      <xdr:rowOff>36811</xdr:rowOff>
    </xdr:from>
    <xdr:to>
      <xdr:col>4</xdr:col>
      <xdr:colOff>754637</xdr:colOff>
      <xdr:row>148</xdr:row>
      <xdr:rowOff>68580</xdr:rowOff>
    </xdr:to>
    <xdr:sp macro="" textlink="">
      <xdr:nvSpPr>
        <xdr:cNvPr id="4" name="Kuvatekstinuoli ylös 3">
          <a:extLst>
            <a:ext uri="{FF2B5EF4-FFF2-40B4-BE49-F238E27FC236}">
              <a16:creationId xmlns:a16="http://schemas.microsoft.com/office/drawing/2014/main" id="{CA582BA7-76A5-2544-8B98-ECA49674EE88}"/>
            </a:ext>
          </a:extLst>
        </xdr:cNvPr>
        <xdr:cNvSpPr/>
      </xdr:nvSpPr>
      <xdr:spPr>
        <a:xfrm>
          <a:off x="2956560" y="31301671"/>
          <a:ext cx="1653797" cy="1235729"/>
        </a:xfrm>
        <a:prstGeom prst="upArrow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i-FI" sz="1100"/>
            <a:t>Det här</a:t>
          </a:r>
          <a:r>
            <a:rPr lang="fi-FI" sz="1100" baseline="0"/>
            <a:t> uppskattningen kommer från odlarfamiljens arbetsinsats delat med 2. </a:t>
          </a:r>
          <a:endParaRPr lang="fi-FI" sz="1100"/>
        </a:p>
      </xdr:txBody>
    </xdr:sp>
    <xdr:clientData/>
  </xdr:twoCellAnchor>
  <xdr:twoCellAnchor>
    <xdr:from>
      <xdr:col>13</xdr:col>
      <xdr:colOff>701040</xdr:colOff>
      <xdr:row>21</xdr:row>
      <xdr:rowOff>106680</xdr:rowOff>
    </xdr:from>
    <xdr:to>
      <xdr:col>26</xdr:col>
      <xdr:colOff>71120</xdr:colOff>
      <xdr:row>50</xdr:row>
      <xdr:rowOff>91440</xdr:rowOff>
    </xdr:to>
    <xdr:graphicFrame macro="">
      <xdr:nvGraphicFramePr>
        <xdr:cNvPr id="5" name="Kaavio 4">
          <a:extLst>
            <a:ext uri="{FF2B5EF4-FFF2-40B4-BE49-F238E27FC236}">
              <a16:creationId xmlns:a16="http://schemas.microsoft.com/office/drawing/2014/main" id="{9625C890-C816-F147-8162-13E482A26A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1066800</xdr:colOff>
      <xdr:row>105</xdr:row>
      <xdr:rowOff>106680</xdr:rowOff>
    </xdr:from>
    <xdr:to>
      <xdr:col>4</xdr:col>
      <xdr:colOff>266700</xdr:colOff>
      <xdr:row>112</xdr:row>
      <xdr:rowOff>127000</xdr:rowOff>
    </xdr:to>
    <xdr:sp macro="" textlink="">
      <xdr:nvSpPr>
        <xdr:cNvPr id="2" name="Kuvatekstinuoli alas 1">
          <a:extLst>
            <a:ext uri="{FF2B5EF4-FFF2-40B4-BE49-F238E27FC236}">
              <a16:creationId xmlns:a16="http://schemas.microsoft.com/office/drawing/2014/main" id="{A36BD0AD-D451-714B-8D6F-FB997952BD2A}"/>
            </a:ext>
          </a:extLst>
        </xdr:cNvPr>
        <xdr:cNvSpPr/>
      </xdr:nvSpPr>
      <xdr:spPr>
        <a:xfrm>
          <a:off x="2217420" y="24810720"/>
          <a:ext cx="1905000" cy="1254760"/>
        </a:xfrm>
        <a:prstGeom prst="downArrow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i-FI" sz="1100"/>
            <a:t>Fyll</a:t>
          </a:r>
          <a:r>
            <a:rPr lang="fi-FI" sz="1100" baseline="0"/>
            <a:t> här förpackningens storlek i kilogram, endast en siffra, t.ex. 3, ifall det är fråga om en 3 kg påse</a:t>
          </a:r>
          <a:endParaRPr lang="fi-FI" sz="1100"/>
        </a:p>
      </xdr:txBody>
    </xdr:sp>
    <xdr:clientData/>
  </xdr:twoCellAnchor>
  <xdr:twoCellAnchor>
    <xdr:from>
      <xdr:col>10</xdr:col>
      <xdr:colOff>622300</xdr:colOff>
      <xdr:row>109</xdr:row>
      <xdr:rowOff>76200</xdr:rowOff>
    </xdr:from>
    <xdr:to>
      <xdr:col>12</xdr:col>
      <xdr:colOff>533400</xdr:colOff>
      <xdr:row>118</xdr:row>
      <xdr:rowOff>15240</xdr:rowOff>
    </xdr:to>
    <xdr:sp macro="" textlink="">
      <xdr:nvSpPr>
        <xdr:cNvPr id="6" name="Kuvatekstinuoli vasemmalle 5">
          <a:extLst>
            <a:ext uri="{FF2B5EF4-FFF2-40B4-BE49-F238E27FC236}">
              <a16:creationId xmlns:a16="http://schemas.microsoft.com/office/drawing/2014/main" id="{60FAFA55-2B82-FE48-9B84-E9043B1D5DB2}"/>
            </a:ext>
          </a:extLst>
        </xdr:cNvPr>
        <xdr:cNvSpPr/>
      </xdr:nvSpPr>
      <xdr:spPr>
        <a:xfrm>
          <a:off x="9392920" y="25488900"/>
          <a:ext cx="1945640" cy="1508760"/>
        </a:xfrm>
        <a:prstGeom prst="leftArrow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i-FI" sz="1100"/>
            <a:t>Förpackningarnas antal är länkade till skördemängden och storleken på försäljningsförpackningarna.</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670560</xdr:colOff>
      <xdr:row>138</xdr:row>
      <xdr:rowOff>36811</xdr:rowOff>
    </xdr:from>
    <xdr:to>
      <xdr:col>4</xdr:col>
      <xdr:colOff>754637</xdr:colOff>
      <xdr:row>145</xdr:row>
      <xdr:rowOff>30480</xdr:rowOff>
    </xdr:to>
    <xdr:sp macro="" textlink="">
      <xdr:nvSpPr>
        <xdr:cNvPr id="3" name="Kuvatekstinuoli ylös 2">
          <a:extLst>
            <a:ext uri="{FF2B5EF4-FFF2-40B4-BE49-F238E27FC236}">
              <a16:creationId xmlns:a16="http://schemas.microsoft.com/office/drawing/2014/main" id="{8BEBDE15-E37B-0C49-BE9E-41388D843281}"/>
            </a:ext>
          </a:extLst>
        </xdr:cNvPr>
        <xdr:cNvSpPr/>
      </xdr:nvSpPr>
      <xdr:spPr>
        <a:xfrm>
          <a:off x="2971800" y="30722551"/>
          <a:ext cx="1638557" cy="1197629"/>
        </a:xfrm>
        <a:prstGeom prst="upArrow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fi-FI" sz="1100">
              <a:solidFill>
                <a:schemeClr val="lt1"/>
              </a:solidFill>
              <a:effectLst/>
              <a:latin typeface="+mn-lt"/>
              <a:ea typeface="+mn-ea"/>
              <a:cs typeface="+mn-cs"/>
            </a:rPr>
            <a:t>Det här</a:t>
          </a:r>
          <a:r>
            <a:rPr lang="fi-FI" sz="1100" baseline="0">
              <a:solidFill>
                <a:schemeClr val="lt1"/>
              </a:solidFill>
              <a:effectLst/>
              <a:latin typeface="+mn-lt"/>
              <a:ea typeface="+mn-ea"/>
              <a:cs typeface="+mn-cs"/>
            </a:rPr>
            <a:t> uppskattningen kommer från odlarfamiljens arbetsinsats delat med 2. </a:t>
          </a:r>
          <a:endParaRPr lang="sv-FI">
            <a:effectLst/>
          </a:endParaRPr>
        </a:p>
      </xdr:txBody>
    </xdr:sp>
    <xdr:clientData/>
  </xdr:twoCellAnchor>
  <xdr:twoCellAnchor>
    <xdr:from>
      <xdr:col>13</xdr:col>
      <xdr:colOff>527050</xdr:colOff>
      <xdr:row>22</xdr:row>
      <xdr:rowOff>6350</xdr:rowOff>
    </xdr:from>
    <xdr:to>
      <xdr:col>26</xdr:col>
      <xdr:colOff>63500</xdr:colOff>
      <xdr:row>52</xdr:row>
      <xdr:rowOff>203200</xdr:rowOff>
    </xdr:to>
    <xdr:graphicFrame macro="">
      <xdr:nvGraphicFramePr>
        <xdr:cNvPr id="4" name="Kaavio 3">
          <a:extLst>
            <a:ext uri="{FF2B5EF4-FFF2-40B4-BE49-F238E27FC236}">
              <a16:creationId xmlns:a16="http://schemas.microsoft.com/office/drawing/2014/main" id="{4E4BB60C-934B-A04F-964A-6B57D459988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1104900</xdr:colOff>
      <xdr:row>102</xdr:row>
      <xdr:rowOff>22860</xdr:rowOff>
    </xdr:from>
    <xdr:to>
      <xdr:col>4</xdr:col>
      <xdr:colOff>304800</xdr:colOff>
      <xdr:row>109</xdr:row>
      <xdr:rowOff>25400</xdr:rowOff>
    </xdr:to>
    <xdr:sp macro="" textlink="">
      <xdr:nvSpPr>
        <xdr:cNvPr id="5" name="Kuvatekstinuoli alas 4">
          <a:extLst>
            <a:ext uri="{FF2B5EF4-FFF2-40B4-BE49-F238E27FC236}">
              <a16:creationId xmlns:a16="http://schemas.microsoft.com/office/drawing/2014/main" id="{D334C8F0-CEFD-F24E-BBB1-79C4C27715FF}"/>
            </a:ext>
          </a:extLst>
        </xdr:cNvPr>
        <xdr:cNvSpPr/>
      </xdr:nvSpPr>
      <xdr:spPr>
        <a:xfrm>
          <a:off x="2255520" y="24147780"/>
          <a:ext cx="1905000" cy="1236980"/>
        </a:xfrm>
        <a:prstGeom prst="downArrow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fi-FI" sz="1100">
              <a:solidFill>
                <a:schemeClr val="lt1"/>
              </a:solidFill>
              <a:effectLst/>
              <a:latin typeface="+mn-lt"/>
              <a:ea typeface="+mn-ea"/>
              <a:cs typeface="+mn-cs"/>
            </a:rPr>
            <a:t>Fyll</a:t>
          </a:r>
          <a:r>
            <a:rPr lang="fi-FI" sz="1100" baseline="0">
              <a:solidFill>
                <a:schemeClr val="lt1"/>
              </a:solidFill>
              <a:effectLst/>
              <a:latin typeface="+mn-lt"/>
              <a:ea typeface="+mn-ea"/>
              <a:cs typeface="+mn-cs"/>
            </a:rPr>
            <a:t> här förpackningens storlek i kilogram, endast en siffra, t.ex. 3, ifall det är fråga om en 3 kg påse</a:t>
          </a:r>
          <a:endParaRPr lang="sv-FI">
            <a:effectLst/>
          </a:endParaRPr>
        </a:p>
      </xdr:txBody>
    </xdr:sp>
    <xdr:clientData/>
  </xdr:twoCellAnchor>
  <xdr:twoCellAnchor>
    <xdr:from>
      <xdr:col>10</xdr:col>
      <xdr:colOff>596900</xdr:colOff>
      <xdr:row>105</xdr:row>
      <xdr:rowOff>83820</xdr:rowOff>
    </xdr:from>
    <xdr:to>
      <xdr:col>12</xdr:col>
      <xdr:colOff>508000</xdr:colOff>
      <xdr:row>113</xdr:row>
      <xdr:rowOff>76200</xdr:rowOff>
    </xdr:to>
    <xdr:sp macro="" textlink="">
      <xdr:nvSpPr>
        <xdr:cNvPr id="6" name="Kuvatekstinuoli vasemmalle 5">
          <a:extLst>
            <a:ext uri="{FF2B5EF4-FFF2-40B4-BE49-F238E27FC236}">
              <a16:creationId xmlns:a16="http://schemas.microsoft.com/office/drawing/2014/main" id="{5FC5D31E-3B51-EF43-89C4-89263BA97333}"/>
            </a:ext>
          </a:extLst>
        </xdr:cNvPr>
        <xdr:cNvSpPr/>
      </xdr:nvSpPr>
      <xdr:spPr>
        <a:xfrm>
          <a:off x="9367520" y="24742140"/>
          <a:ext cx="1945640" cy="1394460"/>
        </a:xfrm>
        <a:prstGeom prst="leftArrow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fi-FI" sz="1100">
              <a:solidFill>
                <a:schemeClr val="lt1"/>
              </a:solidFill>
              <a:effectLst/>
              <a:latin typeface="+mn-lt"/>
              <a:ea typeface="+mn-ea"/>
              <a:cs typeface="+mn-cs"/>
            </a:rPr>
            <a:t>Förpackningarnas antal är länkade till skördemängden och storleken på försäljningsförpackningarna.</a:t>
          </a:r>
          <a:endParaRPr lang="sv-FI">
            <a:effectLst/>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601980</xdr:colOff>
      <xdr:row>140</xdr:row>
      <xdr:rowOff>36811</xdr:rowOff>
    </xdr:from>
    <xdr:to>
      <xdr:col>4</xdr:col>
      <xdr:colOff>754637</xdr:colOff>
      <xdr:row>147</xdr:row>
      <xdr:rowOff>76200</xdr:rowOff>
    </xdr:to>
    <xdr:sp macro="" textlink="">
      <xdr:nvSpPr>
        <xdr:cNvPr id="3" name="Kuvatekstinuoli ylös 2">
          <a:extLst>
            <a:ext uri="{FF2B5EF4-FFF2-40B4-BE49-F238E27FC236}">
              <a16:creationId xmlns:a16="http://schemas.microsoft.com/office/drawing/2014/main" id="{0BCF9216-0F7E-0D4E-938C-BFFC77FBEC94}"/>
            </a:ext>
          </a:extLst>
        </xdr:cNvPr>
        <xdr:cNvSpPr/>
      </xdr:nvSpPr>
      <xdr:spPr>
        <a:xfrm>
          <a:off x="2903220" y="31057831"/>
          <a:ext cx="1707137" cy="1243349"/>
        </a:xfrm>
        <a:prstGeom prst="upArrow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fi-FI" sz="1100">
              <a:solidFill>
                <a:schemeClr val="lt1"/>
              </a:solidFill>
              <a:effectLst/>
              <a:latin typeface="+mn-lt"/>
              <a:ea typeface="+mn-ea"/>
              <a:cs typeface="+mn-cs"/>
            </a:rPr>
            <a:t>Det här</a:t>
          </a:r>
          <a:r>
            <a:rPr lang="fi-FI" sz="1100" baseline="0">
              <a:solidFill>
                <a:schemeClr val="lt1"/>
              </a:solidFill>
              <a:effectLst/>
              <a:latin typeface="+mn-lt"/>
              <a:ea typeface="+mn-ea"/>
              <a:cs typeface="+mn-cs"/>
            </a:rPr>
            <a:t> uppskattningen kommer från odlarfamiljens arbetsinsats delat med 2. </a:t>
          </a:r>
          <a:endParaRPr lang="sv-FI">
            <a:effectLst/>
          </a:endParaRPr>
        </a:p>
      </xdr:txBody>
    </xdr:sp>
    <xdr:clientData/>
  </xdr:twoCellAnchor>
  <xdr:twoCellAnchor>
    <xdr:from>
      <xdr:col>14</xdr:col>
      <xdr:colOff>260350</xdr:colOff>
      <xdr:row>22</xdr:row>
      <xdr:rowOff>57150</xdr:rowOff>
    </xdr:from>
    <xdr:to>
      <xdr:col>26</xdr:col>
      <xdr:colOff>76200</xdr:colOff>
      <xdr:row>51</xdr:row>
      <xdr:rowOff>190500</xdr:rowOff>
    </xdr:to>
    <xdr:graphicFrame macro="">
      <xdr:nvGraphicFramePr>
        <xdr:cNvPr id="4" name="Kaavio 3">
          <a:extLst>
            <a:ext uri="{FF2B5EF4-FFF2-40B4-BE49-F238E27FC236}">
              <a16:creationId xmlns:a16="http://schemas.microsoft.com/office/drawing/2014/main" id="{EEEAF260-802E-6443-917D-B97B8CF1988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1092200</xdr:colOff>
      <xdr:row>104</xdr:row>
      <xdr:rowOff>22860</xdr:rowOff>
    </xdr:from>
    <xdr:to>
      <xdr:col>4</xdr:col>
      <xdr:colOff>292100</xdr:colOff>
      <xdr:row>111</xdr:row>
      <xdr:rowOff>76200</xdr:rowOff>
    </xdr:to>
    <xdr:sp macro="" textlink="">
      <xdr:nvSpPr>
        <xdr:cNvPr id="5" name="Kuvatekstinuoli alas 4">
          <a:extLst>
            <a:ext uri="{FF2B5EF4-FFF2-40B4-BE49-F238E27FC236}">
              <a16:creationId xmlns:a16="http://schemas.microsoft.com/office/drawing/2014/main" id="{AB09308D-F306-8743-BB76-C35C81891E80}"/>
            </a:ext>
          </a:extLst>
        </xdr:cNvPr>
        <xdr:cNvSpPr/>
      </xdr:nvSpPr>
      <xdr:spPr>
        <a:xfrm>
          <a:off x="2242820" y="24483060"/>
          <a:ext cx="1905000" cy="1287780"/>
        </a:xfrm>
        <a:prstGeom prst="downArrow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fi-FI" sz="1100">
              <a:solidFill>
                <a:schemeClr val="lt1"/>
              </a:solidFill>
              <a:effectLst/>
              <a:latin typeface="+mn-lt"/>
              <a:ea typeface="+mn-ea"/>
              <a:cs typeface="+mn-cs"/>
            </a:rPr>
            <a:t>Fyll</a:t>
          </a:r>
          <a:r>
            <a:rPr lang="fi-FI" sz="1100" baseline="0">
              <a:solidFill>
                <a:schemeClr val="lt1"/>
              </a:solidFill>
              <a:effectLst/>
              <a:latin typeface="+mn-lt"/>
              <a:ea typeface="+mn-ea"/>
              <a:cs typeface="+mn-cs"/>
            </a:rPr>
            <a:t> här förpackningens storlek i kilogram, endast en siffra, t.ex. 3, ifall det är fråga om en 3 kg påse</a:t>
          </a:r>
          <a:endParaRPr lang="sv-FI">
            <a:effectLst/>
          </a:endParaRPr>
        </a:p>
      </xdr:txBody>
    </xdr:sp>
    <xdr:clientData/>
  </xdr:twoCellAnchor>
  <xdr:twoCellAnchor>
    <xdr:from>
      <xdr:col>10</xdr:col>
      <xdr:colOff>482600</xdr:colOff>
      <xdr:row>108</xdr:row>
      <xdr:rowOff>38100</xdr:rowOff>
    </xdr:from>
    <xdr:to>
      <xdr:col>12</xdr:col>
      <xdr:colOff>393700</xdr:colOff>
      <xdr:row>115</xdr:row>
      <xdr:rowOff>152400</xdr:rowOff>
    </xdr:to>
    <xdr:sp macro="" textlink="">
      <xdr:nvSpPr>
        <xdr:cNvPr id="6" name="Kuvatekstinuoli vasemmalle 5">
          <a:extLst>
            <a:ext uri="{FF2B5EF4-FFF2-40B4-BE49-F238E27FC236}">
              <a16:creationId xmlns:a16="http://schemas.microsoft.com/office/drawing/2014/main" id="{4EB8C76D-F196-6246-8329-82C85F91F664}"/>
            </a:ext>
          </a:extLst>
        </xdr:cNvPr>
        <xdr:cNvSpPr/>
      </xdr:nvSpPr>
      <xdr:spPr>
        <a:xfrm>
          <a:off x="9253220" y="25206960"/>
          <a:ext cx="1945640" cy="1341120"/>
        </a:xfrm>
        <a:prstGeom prst="leftArrow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fi-FI" sz="1100">
              <a:solidFill>
                <a:schemeClr val="lt1"/>
              </a:solidFill>
              <a:effectLst/>
              <a:latin typeface="+mn-lt"/>
              <a:ea typeface="+mn-ea"/>
              <a:cs typeface="+mn-cs"/>
            </a:rPr>
            <a:t>Förpackningarnas antal är länkade till skördemängden och storleken på försäljningsförpackningarna.</a:t>
          </a:r>
          <a:endParaRPr lang="sv-FI">
            <a:effectLst/>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624840</xdr:colOff>
      <xdr:row>138</xdr:row>
      <xdr:rowOff>36811</xdr:rowOff>
    </xdr:from>
    <xdr:to>
      <xdr:col>4</xdr:col>
      <xdr:colOff>754637</xdr:colOff>
      <xdr:row>145</xdr:row>
      <xdr:rowOff>91440</xdr:rowOff>
    </xdr:to>
    <xdr:sp macro="" textlink="">
      <xdr:nvSpPr>
        <xdr:cNvPr id="2" name="Kuvatekstinuoli ylös 1">
          <a:extLst>
            <a:ext uri="{FF2B5EF4-FFF2-40B4-BE49-F238E27FC236}">
              <a16:creationId xmlns:a16="http://schemas.microsoft.com/office/drawing/2014/main" id="{8A534A5A-3DDC-4348-A293-2FF4AA07345A}"/>
            </a:ext>
          </a:extLst>
        </xdr:cNvPr>
        <xdr:cNvSpPr/>
      </xdr:nvSpPr>
      <xdr:spPr>
        <a:xfrm>
          <a:off x="2926080" y="30669211"/>
          <a:ext cx="1684277" cy="1258589"/>
        </a:xfrm>
        <a:prstGeom prst="upArrow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fi-FI" sz="1100">
              <a:solidFill>
                <a:schemeClr val="lt1"/>
              </a:solidFill>
              <a:effectLst/>
              <a:latin typeface="+mn-lt"/>
              <a:ea typeface="+mn-ea"/>
              <a:cs typeface="+mn-cs"/>
            </a:rPr>
            <a:t>Det här</a:t>
          </a:r>
          <a:r>
            <a:rPr lang="fi-FI" sz="1100" baseline="0">
              <a:solidFill>
                <a:schemeClr val="lt1"/>
              </a:solidFill>
              <a:effectLst/>
              <a:latin typeface="+mn-lt"/>
              <a:ea typeface="+mn-ea"/>
              <a:cs typeface="+mn-cs"/>
            </a:rPr>
            <a:t> uppskattningen kommer från odlarfamiljens arbetsinsats delat med 2. </a:t>
          </a:r>
          <a:endParaRPr lang="sv-FI">
            <a:effectLst/>
          </a:endParaRPr>
        </a:p>
      </xdr:txBody>
    </xdr:sp>
    <xdr:clientData/>
  </xdr:twoCellAnchor>
  <xdr:twoCellAnchor>
    <xdr:from>
      <xdr:col>13</xdr:col>
      <xdr:colOff>472440</xdr:colOff>
      <xdr:row>21</xdr:row>
      <xdr:rowOff>91440</xdr:rowOff>
    </xdr:from>
    <xdr:to>
      <xdr:col>25</xdr:col>
      <xdr:colOff>680720</xdr:colOff>
      <xdr:row>50</xdr:row>
      <xdr:rowOff>76200</xdr:rowOff>
    </xdr:to>
    <xdr:graphicFrame macro="">
      <xdr:nvGraphicFramePr>
        <xdr:cNvPr id="3" name="Kaavio 2">
          <a:extLst>
            <a:ext uri="{FF2B5EF4-FFF2-40B4-BE49-F238E27FC236}">
              <a16:creationId xmlns:a16="http://schemas.microsoft.com/office/drawing/2014/main" id="{4120C0CB-B6DB-4D47-A329-36C90F6881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266700</xdr:colOff>
      <xdr:row>102</xdr:row>
      <xdr:rowOff>15240</xdr:rowOff>
    </xdr:from>
    <xdr:to>
      <xdr:col>4</xdr:col>
      <xdr:colOff>749300</xdr:colOff>
      <xdr:row>109</xdr:row>
      <xdr:rowOff>25400</xdr:rowOff>
    </xdr:to>
    <xdr:sp macro="" textlink="">
      <xdr:nvSpPr>
        <xdr:cNvPr id="4" name="Kuvatekstinuoli alas 3">
          <a:extLst>
            <a:ext uri="{FF2B5EF4-FFF2-40B4-BE49-F238E27FC236}">
              <a16:creationId xmlns:a16="http://schemas.microsoft.com/office/drawing/2014/main" id="{60A74874-E4A6-5741-B7FF-8972693F33F7}"/>
            </a:ext>
          </a:extLst>
        </xdr:cNvPr>
        <xdr:cNvSpPr/>
      </xdr:nvSpPr>
      <xdr:spPr>
        <a:xfrm>
          <a:off x="2567940" y="24086820"/>
          <a:ext cx="2037080" cy="1244600"/>
        </a:xfrm>
        <a:prstGeom prst="downArrow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fi-FI" sz="1100">
              <a:solidFill>
                <a:schemeClr val="lt1"/>
              </a:solidFill>
              <a:effectLst/>
              <a:latin typeface="+mn-lt"/>
              <a:ea typeface="+mn-ea"/>
              <a:cs typeface="+mn-cs"/>
            </a:rPr>
            <a:t>Fyll</a:t>
          </a:r>
          <a:r>
            <a:rPr lang="fi-FI" sz="1100" baseline="0">
              <a:solidFill>
                <a:schemeClr val="lt1"/>
              </a:solidFill>
              <a:effectLst/>
              <a:latin typeface="+mn-lt"/>
              <a:ea typeface="+mn-ea"/>
              <a:cs typeface="+mn-cs"/>
            </a:rPr>
            <a:t> här förpackningens storlek i kilogram, endast en siffra, t.ex. 3, ifall det är fråga om en 3 kg påse</a:t>
          </a:r>
          <a:endParaRPr lang="sv-FI">
            <a:effectLst/>
          </a:endParaRPr>
        </a:p>
      </xdr:txBody>
    </xdr:sp>
    <xdr:clientData/>
  </xdr:twoCellAnchor>
  <xdr:twoCellAnchor>
    <xdr:from>
      <xdr:col>10</xdr:col>
      <xdr:colOff>558800</xdr:colOff>
      <xdr:row>107</xdr:row>
      <xdr:rowOff>0</xdr:rowOff>
    </xdr:from>
    <xdr:to>
      <xdr:col>12</xdr:col>
      <xdr:colOff>469900</xdr:colOff>
      <xdr:row>114</xdr:row>
      <xdr:rowOff>99060</xdr:rowOff>
    </xdr:to>
    <xdr:sp macro="" textlink="">
      <xdr:nvSpPr>
        <xdr:cNvPr id="5" name="Kuvatekstinuoli vasemmalle 4">
          <a:extLst>
            <a:ext uri="{FF2B5EF4-FFF2-40B4-BE49-F238E27FC236}">
              <a16:creationId xmlns:a16="http://schemas.microsoft.com/office/drawing/2014/main" id="{5191BCB6-15F5-6645-AA0E-0141F4F4FFD5}"/>
            </a:ext>
          </a:extLst>
        </xdr:cNvPr>
        <xdr:cNvSpPr/>
      </xdr:nvSpPr>
      <xdr:spPr>
        <a:xfrm>
          <a:off x="9329420" y="24955500"/>
          <a:ext cx="1945640" cy="1325880"/>
        </a:xfrm>
        <a:prstGeom prst="leftArrow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fi-FI" sz="1100">
              <a:solidFill>
                <a:schemeClr val="lt1"/>
              </a:solidFill>
              <a:effectLst/>
              <a:latin typeface="+mn-lt"/>
              <a:ea typeface="+mn-ea"/>
              <a:cs typeface="+mn-cs"/>
            </a:rPr>
            <a:t>Förpackningarnas antal är länkade till skördemängden och storleken på försäljningsförpackningarna.</a:t>
          </a:r>
          <a:endParaRPr lang="sv-FI">
            <a:effectLst/>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647700</xdr:colOff>
      <xdr:row>141</xdr:row>
      <xdr:rowOff>36811</xdr:rowOff>
    </xdr:from>
    <xdr:to>
      <xdr:col>4</xdr:col>
      <xdr:colOff>754637</xdr:colOff>
      <xdr:row>148</xdr:row>
      <xdr:rowOff>129540</xdr:rowOff>
    </xdr:to>
    <xdr:sp macro="" textlink="">
      <xdr:nvSpPr>
        <xdr:cNvPr id="2" name="Kuvatekstinuoli ylös 1">
          <a:extLst>
            <a:ext uri="{FF2B5EF4-FFF2-40B4-BE49-F238E27FC236}">
              <a16:creationId xmlns:a16="http://schemas.microsoft.com/office/drawing/2014/main" id="{10F06B52-CBCA-3345-B18D-178DFD0EBBD3}"/>
            </a:ext>
          </a:extLst>
        </xdr:cNvPr>
        <xdr:cNvSpPr/>
      </xdr:nvSpPr>
      <xdr:spPr>
        <a:xfrm>
          <a:off x="2948940" y="31301671"/>
          <a:ext cx="1661417" cy="1296689"/>
        </a:xfrm>
        <a:prstGeom prst="upArrow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fi-FI" sz="1100">
              <a:solidFill>
                <a:schemeClr val="lt1"/>
              </a:solidFill>
              <a:effectLst/>
              <a:latin typeface="+mn-lt"/>
              <a:ea typeface="+mn-ea"/>
              <a:cs typeface="+mn-cs"/>
            </a:rPr>
            <a:t>Det här</a:t>
          </a:r>
          <a:r>
            <a:rPr lang="fi-FI" sz="1100" baseline="0">
              <a:solidFill>
                <a:schemeClr val="lt1"/>
              </a:solidFill>
              <a:effectLst/>
              <a:latin typeface="+mn-lt"/>
              <a:ea typeface="+mn-ea"/>
              <a:cs typeface="+mn-cs"/>
            </a:rPr>
            <a:t> uppskattningen kommer från odlarfamiljens arbetsinsats delat med 2. </a:t>
          </a:r>
          <a:endParaRPr lang="sv-FI">
            <a:effectLst/>
          </a:endParaRPr>
        </a:p>
      </xdr:txBody>
    </xdr:sp>
    <xdr:clientData/>
  </xdr:twoCellAnchor>
  <xdr:twoCellAnchor>
    <xdr:from>
      <xdr:col>13</xdr:col>
      <xdr:colOff>701040</xdr:colOff>
      <xdr:row>21</xdr:row>
      <xdr:rowOff>106680</xdr:rowOff>
    </xdr:from>
    <xdr:to>
      <xdr:col>26</xdr:col>
      <xdr:colOff>71120</xdr:colOff>
      <xdr:row>50</xdr:row>
      <xdr:rowOff>91440</xdr:rowOff>
    </xdr:to>
    <xdr:graphicFrame macro="">
      <xdr:nvGraphicFramePr>
        <xdr:cNvPr id="3" name="Kaavio 2">
          <a:extLst>
            <a:ext uri="{FF2B5EF4-FFF2-40B4-BE49-F238E27FC236}">
              <a16:creationId xmlns:a16="http://schemas.microsoft.com/office/drawing/2014/main" id="{93A5D2CF-2F81-2C42-B703-D914579F34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1219200</xdr:colOff>
      <xdr:row>105</xdr:row>
      <xdr:rowOff>0</xdr:rowOff>
    </xdr:from>
    <xdr:to>
      <xdr:col>4</xdr:col>
      <xdr:colOff>419100</xdr:colOff>
      <xdr:row>112</xdr:row>
      <xdr:rowOff>165100</xdr:rowOff>
    </xdr:to>
    <xdr:sp macro="" textlink="">
      <xdr:nvSpPr>
        <xdr:cNvPr id="4" name="Kuvatekstinuoli alas 3">
          <a:extLst>
            <a:ext uri="{FF2B5EF4-FFF2-40B4-BE49-F238E27FC236}">
              <a16:creationId xmlns:a16="http://schemas.microsoft.com/office/drawing/2014/main" id="{12C9D72A-E4FF-E94A-B3AF-6B1CD424A5FC}"/>
            </a:ext>
          </a:extLst>
        </xdr:cNvPr>
        <xdr:cNvSpPr/>
      </xdr:nvSpPr>
      <xdr:spPr>
        <a:xfrm>
          <a:off x="2501900" y="24447500"/>
          <a:ext cx="2209800" cy="1409700"/>
        </a:xfrm>
        <a:prstGeom prst="downArrow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fi-FI" sz="1100">
              <a:solidFill>
                <a:schemeClr val="lt1"/>
              </a:solidFill>
              <a:effectLst/>
              <a:latin typeface="+mn-lt"/>
              <a:ea typeface="+mn-ea"/>
              <a:cs typeface="+mn-cs"/>
            </a:rPr>
            <a:t>Fyll</a:t>
          </a:r>
          <a:r>
            <a:rPr lang="fi-FI" sz="1100" baseline="0">
              <a:solidFill>
                <a:schemeClr val="lt1"/>
              </a:solidFill>
              <a:effectLst/>
              <a:latin typeface="+mn-lt"/>
              <a:ea typeface="+mn-ea"/>
              <a:cs typeface="+mn-cs"/>
            </a:rPr>
            <a:t> här förpackningens storlek i kilogram, endast en siffra, t.ex. 3, ifall det är fråga om en 3 kg påse</a:t>
          </a:r>
          <a:endParaRPr lang="sv-FI">
            <a:effectLst/>
          </a:endParaRPr>
        </a:p>
      </xdr:txBody>
    </xdr:sp>
    <xdr:clientData/>
  </xdr:twoCellAnchor>
  <xdr:twoCellAnchor>
    <xdr:from>
      <xdr:col>10</xdr:col>
      <xdr:colOff>546100</xdr:colOff>
      <xdr:row>109</xdr:row>
      <xdr:rowOff>127000</xdr:rowOff>
    </xdr:from>
    <xdr:to>
      <xdr:col>12</xdr:col>
      <xdr:colOff>457200</xdr:colOff>
      <xdr:row>117</xdr:row>
      <xdr:rowOff>91440</xdr:rowOff>
    </xdr:to>
    <xdr:sp macro="" textlink="">
      <xdr:nvSpPr>
        <xdr:cNvPr id="5" name="Kuvatekstinuoli vasemmalle 4">
          <a:extLst>
            <a:ext uri="{FF2B5EF4-FFF2-40B4-BE49-F238E27FC236}">
              <a16:creationId xmlns:a16="http://schemas.microsoft.com/office/drawing/2014/main" id="{FB89E9E7-47B1-5143-9767-A205D1857F92}"/>
            </a:ext>
          </a:extLst>
        </xdr:cNvPr>
        <xdr:cNvSpPr/>
      </xdr:nvSpPr>
      <xdr:spPr>
        <a:xfrm>
          <a:off x="9316720" y="25539700"/>
          <a:ext cx="1945640" cy="1366520"/>
        </a:xfrm>
        <a:prstGeom prst="leftArrow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fi-FI" sz="1100">
              <a:solidFill>
                <a:schemeClr val="lt1"/>
              </a:solidFill>
              <a:effectLst/>
              <a:latin typeface="+mn-lt"/>
              <a:ea typeface="+mn-ea"/>
              <a:cs typeface="+mn-cs"/>
            </a:rPr>
            <a:t>Förpackningarnas antal är länkade till skördemängden och storleken på försäljningsförpackningarna.</a:t>
          </a:r>
          <a:endParaRPr lang="sv-FI">
            <a:effectLst/>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609600</xdr:colOff>
      <xdr:row>141</xdr:row>
      <xdr:rowOff>36811</xdr:rowOff>
    </xdr:from>
    <xdr:to>
      <xdr:col>4</xdr:col>
      <xdr:colOff>754637</xdr:colOff>
      <xdr:row>148</xdr:row>
      <xdr:rowOff>60960</xdr:rowOff>
    </xdr:to>
    <xdr:sp macro="" textlink="">
      <xdr:nvSpPr>
        <xdr:cNvPr id="2" name="Kuvatekstinuoli ylös 1">
          <a:extLst>
            <a:ext uri="{FF2B5EF4-FFF2-40B4-BE49-F238E27FC236}">
              <a16:creationId xmlns:a16="http://schemas.microsoft.com/office/drawing/2014/main" id="{1B72EFF4-BF51-BE47-A015-4DE8000DC25E}"/>
            </a:ext>
          </a:extLst>
        </xdr:cNvPr>
        <xdr:cNvSpPr/>
      </xdr:nvSpPr>
      <xdr:spPr>
        <a:xfrm>
          <a:off x="2910840" y="31301671"/>
          <a:ext cx="1699517" cy="1228109"/>
        </a:xfrm>
        <a:prstGeom prst="upArrow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fi-FI" sz="1100">
              <a:solidFill>
                <a:schemeClr val="lt1"/>
              </a:solidFill>
              <a:effectLst/>
              <a:latin typeface="+mn-lt"/>
              <a:ea typeface="+mn-ea"/>
              <a:cs typeface="+mn-cs"/>
            </a:rPr>
            <a:t>Det här</a:t>
          </a:r>
          <a:r>
            <a:rPr lang="fi-FI" sz="1100" baseline="0">
              <a:solidFill>
                <a:schemeClr val="lt1"/>
              </a:solidFill>
              <a:effectLst/>
              <a:latin typeface="+mn-lt"/>
              <a:ea typeface="+mn-ea"/>
              <a:cs typeface="+mn-cs"/>
            </a:rPr>
            <a:t> uppskattningen kommer från odlarfamiljens arbetsinsats delat med 2. </a:t>
          </a:r>
          <a:endParaRPr lang="sv-FI">
            <a:effectLst/>
          </a:endParaRPr>
        </a:p>
        <a:p>
          <a:pPr algn="l"/>
          <a:r>
            <a:rPr lang="fi-FI" sz="1100" baseline="0"/>
            <a:t>.</a:t>
          </a:r>
          <a:endParaRPr lang="fi-FI" sz="1100"/>
        </a:p>
      </xdr:txBody>
    </xdr:sp>
    <xdr:clientData/>
  </xdr:twoCellAnchor>
  <xdr:twoCellAnchor>
    <xdr:from>
      <xdr:col>14</xdr:col>
      <xdr:colOff>22860</xdr:colOff>
      <xdr:row>21</xdr:row>
      <xdr:rowOff>106680</xdr:rowOff>
    </xdr:from>
    <xdr:to>
      <xdr:col>26</xdr:col>
      <xdr:colOff>93980</xdr:colOff>
      <xdr:row>50</xdr:row>
      <xdr:rowOff>91440</xdr:rowOff>
    </xdr:to>
    <xdr:graphicFrame macro="">
      <xdr:nvGraphicFramePr>
        <xdr:cNvPr id="3" name="Kaavio 2">
          <a:extLst>
            <a:ext uri="{FF2B5EF4-FFF2-40B4-BE49-F238E27FC236}">
              <a16:creationId xmlns:a16="http://schemas.microsoft.com/office/drawing/2014/main" id="{8EE34BDB-A56D-C94D-BED8-042A878630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25400</xdr:colOff>
      <xdr:row>105</xdr:row>
      <xdr:rowOff>22860</xdr:rowOff>
    </xdr:from>
    <xdr:to>
      <xdr:col>4</xdr:col>
      <xdr:colOff>508000</xdr:colOff>
      <xdr:row>112</xdr:row>
      <xdr:rowOff>63500</xdr:rowOff>
    </xdr:to>
    <xdr:sp macro="" textlink="">
      <xdr:nvSpPr>
        <xdr:cNvPr id="4" name="Kuvatekstinuoli alas 3">
          <a:extLst>
            <a:ext uri="{FF2B5EF4-FFF2-40B4-BE49-F238E27FC236}">
              <a16:creationId xmlns:a16="http://schemas.microsoft.com/office/drawing/2014/main" id="{9E6C5924-C879-7C44-A622-138BE633AF0A}"/>
            </a:ext>
          </a:extLst>
        </xdr:cNvPr>
        <xdr:cNvSpPr/>
      </xdr:nvSpPr>
      <xdr:spPr>
        <a:xfrm>
          <a:off x="2326640" y="24726900"/>
          <a:ext cx="2037080" cy="1275080"/>
        </a:xfrm>
        <a:prstGeom prst="downArrow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fi-FI" sz="1100">
              <a:solidFill>
                <a:schemeClr val="lt1"/>
              </a:solidFill>
              <a:effectLst/>
              <a:latin typeface="+mn-lt"/>
              <a:ea typeface="+mn-ea"/>
              <a:cs typeface="+mn-cs"/>
            </a:rPr>
            <a:t>Fyll</a:t>
          </a:r>
          <a:r>
            <a:rPr lang="fi-FI" sz="1100" baseline="0">
              <a:solidFill>
                <a:schemeClr val="lt1"/>
              </a:solidFill>
              <a:effectLst/>
              <a:latin typeface="+mn-lt"/>
              <a:ea typeface="+mn-ea"/>
              <a:cs typeface="+mn-cs"/>
            </a:rPr>
            <a:t> här förpackningens storlek i kilogram, endast en siffra, t.ex. 3, ifall det är fråga om en 3 kg påse</a:t>
          </a:r>
          <a:endParaRPr lang="sv-FI">
            <a:effectLst/>
          </a:endParaRPr>
        </a:p>
      </xdr:txBody>
    </xdr:sp>
    <xdr:clientData/>
  </xdr:twoCellAnchor>
  <xdr:twoCellAnchor>
    <xdr:from>
      <xdr:col>10</xdr:col>
      <xdr:colOff>596900</xdr:colOff>
      <xdr:row>109</xdr:row>
      <xdr:rowOff>152400</xdr:rowOff>
    </xdr:from>
    <xdr:to>
      <xdr:col>12</xdr:col>
      <xdr:colOff>508000</xdr:colOff>
      <xdr:row>118</xdr:row>
      <xdr:rowOff>0</xdr:rowOff>
    </xdr:to>
    <xdr:sp macro="" textlink="">
      <xdr:nvSpPr>
        <xdr:cNvPr id="5" name="Kuvatekstinuoli vasemmalle 4">
          <a:extLst>
            <a:ext uri="{FF2B5EF4-FFF2-40B4-BE49-F238E27FC236}">
              <a16:creationId xmlns:a16="http://schemas.microsoft.com/office/drawing/2014/main" id="{952FD860-7D3E-8C43-B6A2-BFDCF69F58FE}"/>
            </a:ext>
          </a:extLst>
        </xdr:cNvPr>
        <xdr:cNvSpPr/>
      </xdr:nvSpPr>
      <xdr:spPr>
        <a:xfrm>
          <a:off x="9367520" y="25565100"/>
          <a:ext cx="1945640" cy="1417320"/>
        </a:xfrm>
        <a:prstGeom prst="leftArrow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fi-FI" sz="1100">
              <a:solidFill>
                <a:schemeClr val="lt1"/>
              </a:solidFill>
              <a:effectLst/>
              <a:latin typeface="+mn-lt"/>
              <a:ea typeface="+mn-ea"/>
              <a:cs typeface="+mn-cs"/>
            </a:rPr>
            <a:t>Förpackningarnas antal är länkade till skördemängden och storleken på försäljningsförpackningarna.</a:t>
          </a:r>
          <a:endParaRPr lang="sv-FI">
            <a:effectLst/>
          </a:endParaRPr>
        </a:p>
      </xdr:txBody>
    </xdr:sp>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904DA-E258-7542-B94B-2C50CBF4AF91}">
  <dimension ref="B61:K62"/>
  <sheetViews>
    <sheetView tabSelected="1" zoomScale="80" zoomScaleNormal="80" workbookViewId="0">
      <selection activeCell="N79" sqref="N79"/>
    </sheetView>
  </sheetViews>
  <sheetFormatPr defaultColWidth="11.44140625" defaultRowHeight="13.2" x14ac:dyDescent="0.25"/>
  <sheetData>
    <row r="61" spans="2:11" ht="13.8" thickBot="1" x14ac:dyDescent="0.3"/>
    <row r="62" spans="2:11" ht="25.05" customHeight="1" thickBot="1" x14ac:dyDescent="0.5">
      <c r="B62" s="889" t="s">
        <v>146</v>
      </c>
      <c r="C62" s="890"/>
      <c r="D62" s="890"/>
      <c r="E62" s="890"/>
      <c r="F62" s="890"/>
      <c r="G62" s="890"/>
      <c r="H62" s="890"/>
      <c r="I62" s="890"/>
      <c r="J62" s="890"/>
      <c r="K62" s="891"/>
    </row>
  </sheetData>
  <mergeCells count="1">
    <mergeCell ref="B62:K62"/>
  </mergeCells>
  <hyperlinks>
    <hyperlink ref="B62:K62" location="'Gårdens info'!A1" display="HÄRIFRÅN KOMMER DU TILL KALKYLERNA" xr:uid="{36DA53F1-2CC0-514E-8787-AE928A7205F3}"/>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E02B9-CCA8-1740-A4D7-A30113197B22}">
  <sheetPr>
    <tabColor theme="7" tint="0.79998168889431442"/>
  </sheetPr>
  <dimension ref="A1:AC188"/>
  <sheetViews>
    <sheetView topLeftCell="A160" workbookViewId="0">
      <selection activeCell="AA22" sqref="AA22"/>
    </sheetView>
  </sheetViews>
  <sheetFormatPr defaultColWidth="11.44140625" defaultRowHeight="13.2" x14ac:dyDescent="0.25"/>
  <cols>
    <col min="1" max="1" width="5.33203125" style="101" customWidth="1"/>
    <col min="3" max="3" width="16.77734375" customWidth="1"/>
    <col min="4" max="4" width="22.6640625" customWidth="1"/>
    <col min="5" max="5" width="12.109375" bestFit="1" customWidth="1"/>
    <col min="6" max="6" width="20.6640625" bestFit="1" customWidth="1"/>
    <col min="7" max="7" width="6.33203125" customWidth="1"/>
    <col min="9" max="9" width="6" customWidth="1"/>
    <col min="10" max="10" width="15.109375" customWidth="1"/>
    <col min="11" max="11" width="9.6640625" customWidth="1"/>
    <col min="12" max="12" width="20" customWidth="1"/>
    <col min="13" max="13" width="12.109375" customWidth="1"/>
    <col min="14" max="14" width="9.44140625" customWidth="1"/>
    <col min="15" max="15" width="8.44140625" customWidth="1"/>
    <col min="16" max="16" width="4.44140625" customWidth="1"/>
    <col min="17" max="17" width="15" customWidth="1"/>
    <col min="18" max="18" width="5.109375" customWidth="1"/>
    <col min="19" max="19" width="18.33203125" bestFit="1" customWidth="1"/>
  </cols>
  <sheetData>
    <row r="1" spans="1:21" s="101" customFormat="1" ht="22.8" x14ac:dyDescent="0.4">
      <c r="B1" s="800" t="s">
        <v>261</v>
      </c>
    </row>
    <row r="2" spans="1:21" ht="27" customHeight="1" x14ac:dyDescent="0.3">
      <c r="B2" s="852" t="s">
        <v>337</v>
      </c>
      <c r="C2" s="852"/>
      <c r="F2" s="91"/>
      <c r="G2" s="91"/>
      <c r="H2" s="91"/>
    </row>
    <row r="3" spans="1:21" ht="27" customHeight="1" x14ac:dyDescent="0.3">
      <c r="B3" s="839"/>
      <c r="C3" s="839"/>
    </row>
    <row r="4" spans="1:21" ht="36" customHeight="1" x14ac:dyDescent="0.3">
      <c r="B4" s="942" t="s">
        <v>236</v>
      </c>
      <c r="C4" s="942"/>
      <c r="D4" s="942"/>
      <c r="E4" s="942"/>
      <c r="F4" s="942"/>
      <c r="G4" s="942"/>
      <c r="H4" s="942"/>
      <c r="I4" s="942"/>
      <c r="J4" s="942"/>
      <c r="K4" s="942"/>
      <c r="L4" s="942"/>
    </row>
    <row r="5" spans="1:21" ht="27" customHeight="1" thickBot="1" x14ac:dyDescent="0.35">
      <c r="B5" s="759"/>
      <c r="C5" s="759"/>
    </row>
    <row r="6" spans="1:21" ht="27" customHeight="1" x14ac:dyDescent="0.4">
      <c r="B6" s="318" t="s">
        <v>369</v>
      </c>
      <c r="C6" s="282"/>
      <c r="D6" s="283"/>
      <c r="E6" s="283"/>
      <c r="F6" s="283"/>
      <c r="G6" s="283"/>
      <c r="H6" s="283"/>
      <c r="I6" s="283"/>
      <c r="J6" s="283"/>
      <c r="K6" s="283"/>
      <c r="L6" s="283"/>
      <c r="M6" s="284"/>
      <c r="N6" s="441"/>
      <c r="O6" s="283"/>
      <c r="P6" s="283"/>
      <c r="Q6" s="283"/>
      <c r="R6" s="283"/>
      <c r="S6" s="283"/>
      <c r="T6" s="283"/>
      <c r="U6" s="284"/>
    </row>
    <row r="7" spans="1:21" ht="27" customHeight="1" x14ac:dyDescent="0.4">
      <c r="B7" s="285"/>
      <c r="C7" s="286"/>
      <c r="D7" s="148"/>
      <c r="E7" s="148"/>
      <c r="F7" s="148"/>
      <c r="G7" s="148"/>
      <c r="H7" s="148"/>
      <c r="I7" s="148"/>
      <c r="J7" s="148"/>
      <c r="K7" s="148"/>
      <c r="L7" s="148"/>
      <c r="M7" s="287"/>
      <c r="N7" s="442"/>
      <c r="O7" s="148"/>
      <c r="P7" s="148"/>
      <c r="Q7" s="148"/>
      <c r="R7" s="148"/>
      <c r="S7" s="148"/>
      <c r="T7" s="148"/>
      <c r="U7" s="287"/>
    </row>
    <row r="8" spans="1:21" ht="21" x14ac:dyDescent="0.4">
      <c r="B8" s="319" t="s">
        <v>238</v>
      </c>
      <c r="C8" s="286"/>
      <c r="D8" s="148"/>
      <c r="E8" s="151"/>
      <c r="F8" s="151"/>
      <c r="G8" s="151"/>
      <c r="H8" s="151"/>
      <c r="I8" s="148"/>
      <c r="J8" s="148"/>
      <c r="K8" s="148"/>
      <c r="L8" s="148"/>
      <c r="M8" s="287"/>
      <c r="N8" s="319" t="s">
        <v>201</v>
      </c>
      <c r="O8" s="148"/>
      <c r="P8" s="148"/>
      <c r="Q8" s="148"/>
      <c r="R8" s="148"/>
      <c r="S8" s="148"/>
      <c r="T8" s="148"/>
      <c r="U8" s="300"/>
    </row>
    <row r="9" spans="1:21" ht="21" customHeight="1" thickBot="1" x14ac:dyDescent="0.35">
      <c r="B9" s="288"/>
      <c r="C9" s="289" t="s">
        <v>239</v>
      </c>
      <c r="D9" s="151"/>
      <c r="E9" s="151"/>
      <c r="F9" s="290">
        <f>H9*'Gårdens info'!G16</f>
        <v>0</v>
      </c>
      <c r="G9" s="151" t="s">
        <v>14</v>
      </c>
      <c r="H9" s="619">
        <f>IF('Gårdens info'!G16&gt;0,(('Gårdens info'!D16*'Gårdens info'!G16*S10*T10)+('Gårdens info'!D16*'Gårdens info'!G16*S11*T11)+('Gårdens info'!D16*'Gårdens info'!G16*S12*T12)+('Gårdens info'!D16*'Gårdens info'!G16*S13*T13)+('Gårdens info'!D16*'Gårdens info'!G16*S14*T14)+('Gårdens info'!D16*'Gårdens info'!G16*S15*T15)+('Gårdens info'!D16*'Gårdens info'!G16*S16*T16)+('Gårdens info'!D16*'Gårdens info'!G16*S17*T17))/(('Gårdens info'!D16*'Gårdens info'!G16)),0)</f>
        <v>0</v>
      </c>
      <c r="I9" s="151" t="s">
        <v>6</v>
      </c>
      <c r="J9" s="290">
        <f>F9*'Gårdens info'!D16</f>
        <v>0</v>
      </c>
      <c r="K9" s="151" t="s">
        <v>365</v>
      </c>
      <c r="L9" s="151"/>
      <c r="M9" s="287"/>
      <c r="N9" s="442"/>
      <c r="O9" s="943" t="s">
        <v>47</v>
      </c>
      <c r="P9" s="943"/>
      <c r="Q9" s="943"/>
      <c r="R9" s="760"/>
      <c r="S9" s="444" t="s">
        <v>339</v>
      </c>
      <c r="T9" s="967" t="s">
        <v>340</v>
      </c>
      <c r="U9" s="968"/>
    </row>
    <row r="10" spans="1:21" ht="15.6" thickBot="1" x14ac:dyDescent="0.3">
      <c r="B10" s="288"/>
      <c r="C10" s="151" t="s">
        <v>224</v>
      </c>
      <c r="D10" s="151"/>
      <c r="E10" s="151"/>
      <c r="F10" s="290">
        <f>IF('Gårdens info'!D16&gt;0,Stöd!J6/'Gårdens info'!D37*Stöd!L6+Stöd!J7/'Gårdens info'!D37*Stöd!L7+Stöd!J8/'Gårdens info'!D37*Stöd!L8+Stöd!J12/'Gårdens info'!D37*Stöd!L12+Stöd!J16/'Gårdens info'!D37*Stöd!L16+Stöd!J18/'Gårdens info'!D37*Stöd!L18+Stöd!J19/'Gårdens info'!D37*Stöd!L19+Stöd!J20/'Gårdens info'!D37*Stöd!L20+Stöd!J21/'Gårdens info'!D37*Stöd!L21,0)</f>
        <v>0</v>
      </c>
      <c r="G10" s="151" t="s">
        <v>14</v>
      </c>
      <c r="H10" s="619">
        <f>IF('Gårdens info'!G16&gt;0,F10/'Gårdens info'!G16,0)</f>
        <v>0</v>
      </c>
      <c r="I10" s="151" t="s">
        <v>6</v>
      </c>
      <c r="J10" s="290">
        <f>F10*'Gårdens info'!D16</f>
        <v>0</v>
      </c>
      <c r="K10" s="151" t="s">
        <v>365</v>
      </c>
      <c r="L10" s="151"/>
      <c r="M10" s="287"/>
      <c r="N10" s="442"/>
      <c r="O10" s="151">
        <v>1</v>
      </c>
      <c r="P10" s="151" t="s">
        <v>21</v>
      </c>
      <c r="Q10" s="151" t="s">
        <v>333</v>
      </c>
      <c r="R10" s="151"/>
      <c r="S10" s="452">
        <v>0</v>
      </c>
      <c r="T10" s="317"/>
      <c r="U10" s="300" t="s">
        <v>6</v>
      </c>
    </row>
    <row r="11" spans="1:21" s="8" customFormat="1" ht="21.6" customHeight="1" thickBot="1" x14ac:dyDescent="0.45">
      <c r="A11" s="264"/>
      <c r="B11" s="932" t="s">
        <v>240</v>
      </c>
      <c r="C11" s="933"/>
      <c r="D11" s="933"/>
      <c r="E11" s="324"/>
      <c r="F11" s="328">
        <f>F9+F10</f>
        <v>0</v>
      </c>
      <c r="G11" s="329" t="s">
        <v>14</v>
      </c>
      <c r="H11" s="618">
        <f>H9+H10</f>
        <v>0</v>
      </c>
      <c r="I11" s="329" t="s">
        <v>6</v>
      </c>
      <c r="J11" s="331">
        <f>J9+J10</f>
        <v>0</v>
      </c>
      <c r="K11" s="329" t="s">
        <v>365</v>
      </c>
      <c r="L11" s="329"/>
      <c r="M11" s="321"/>
      <c r="N11" s="445"/>
      <c r="O11" s="151">
        <v>0.25</v>
      </c>
      <c r="P11" s="151" t="s">
        <v>21</v>
      </c>
      <c r="Q11" s="151" t="s">
        <v>334</v>
      </c>
      <c r="R11" s="151"/>
      <c r="S11" s="454">
        <v>0</v>
      </c>
      <c r="T11" s="317"/>
      <c r="U11" s="300" t="s">
        <v>6</v>
      </c>
    </row>
    <row r="12" spans="1:21" s="8" customFormat="1" ht="21.6" thickBot="1" x14ac:dyDescent="0.45">
      <c r="A12" s="264"/>
      <c r="B12" s="832"/>
      <c r="C12" s="833"/>
      <c r="D12" s="833"/>
      <c r="E12" s="324"/>
      <c r="F12" s="328"/>
      <c r="G12" s="329"/>
      <c r="H12" s="330"/>
      <c r="I12" s="329"/>
      <c r="J12" s="331"/>
      <c r="K12" s="329"/>
      <c r="L12" s="329"/>
      <c r="M12" s="321"/>
      <c r="N12" s="445"/>
      <c r="O12" s="151">
        <v>0.5</v>
      </c>
      <c r="P12" s="151" t="s">
        <v>21</v>
      </c>
      <c r="Q12" s="151" t="s">
        <v>333</v>
      </c>
      <c r="R12" s="151"/>
      <c r="S12" s="454">
        <v>0</v>
      </c>
      <c r="T12" s="317"/>
      <c r="U12" s="300" t="s">
        <v>6</v>
      </c>
    </row>
    <row r="13" spans="1:21" ht="22.05" customHeight="1" thickBot="1" x14ac:dyDescent="0.35">
      <c r="B13" s="292"/>
      <c r="C13" s="286"/>
      <c r="D13" s="148"/>
      <c r="E13" s="148"/>
      <c r="F13" s="148"/>
      <c r="G13" s="148"/>
      <c r="H13" s="148"/>
      <c r="I13" s="148"/>
      <c r="J13" s="293"/>
      <c r="K13" s="148"/>
      <c r="L13" s="148"/>
      <c r="M13" s="287"/>
      <c r="N13" s="442"/>
      <c r="O13" s="151">
        <v>10</v>
      </c>
      <c r="P13" s="151" t="s">
        <v>21</v>
      </c>
      <c r="Q13" s="151" t="s">
        <v>335</v>
      </c>
      <c r="R13" s="151"/>
      <c r="S13" s="454">
        <v>1</v>
      </c>
      <c r="T13" s="317">
        <v>0.76</v>
      </c>
      <c r="U13" s="300" t="s">
        <v>6</v>
      </c>
    </row>
    <row r="14" spans="1:21" ht="21.6" thickBot="1" x14ac:dyDescent="0.45">
      <c r="B14" s="319" t="s">
        <v>241</v>
      </c>
      <c r="C14" s="286"/>
      <c r="D14" s="148"/>
      <c r="E14" s="148"/>
      <c r="F14" s="148"/>
      <c r="G14" s="148"/>
      <c r="H14" s="148"/>
      <c r="I14" s="148"/>
      <c r="J14" s="293"/>
      <c r="K14" s="148"/>
      <c r="L14" s="148"/>
      <c r="M14" s="287"/>
      <c r="N14" s="442"/>
      <c r="O14" s="812">
        <f>D111</f>
        <v>0</v>
      </c>
      <c r="P14" s="151" t="s">
        <v>21</v>
      </c>
      <c r="Q14" s="362" t="str">
        <f>C111</f>
        <v>förpackning X</v>
      </c>
      <c r="R14" s="151"/>
      <c r="S14" s="454">
        <v>0</v>
      </c>
      <c r="T14" s="317"/>
      <c r="U14" s="300" t="s">
        <v>6</v>
      </c>
    </row>
    <row r="15" spans="1:21" s="77" customFormat="1" ht="16.95" customHeight="1" thickBot="1" x14ac:dyDescent="0.35">
      <c r="A15" s="100"/>
      <c r="B15" s="602"/>
      <c r="C15" s="306"/>
      <c r="D15" s="310"/>
      <c r="E15" s="310"/>
      <c r="F15" s="311"/>
      <c r="G15" s="153"/>
      <c r="H15" s="310"/>
      <c r="I15" s="310"/>
      <c r="J15" s="310"/>
      <c r="K15" s="310"/>
      <c r="L15" s="310"/>
      <c r="M15" s="295"/>
      <c r="N15" s="442"/>
      <c r="O15" s="812">
        <f t="shared" ref="O15:O17" si="0">D112</f>
        <v>0</v>
      </c>
      <c r="P15" s="151" t="s">
        <v>21</v>
      </c>
      <c r="Q15" s="362" t="str">
        <f t="shared" ref="Q15:Q17" si="1">C112</f>
        <v>förpackning X</v>
      </c>
      <c r="R15" s="151"/>
      <c r="S15" s="454">
        <v>0</v>
      </c>
      <c r="T15" s="317"/>
      <c r="U15" s="300" t="s">
        <v>6</v>
      </c>
    </row>
    <row r="16" spans="1:21" s="91" customFormat="1" ht="16.95" customHeight="1" thickBot="1" x14ac:dyDescent="0.3">
      <c r="A16" s="100"/>
      <c r="B16" s="602"/>
      <c r="C16" s="289" t="s">
        <v>243</v>
      </c>
      <c r="D16" s="297"/>
      <c r="E16" s="297"/>
      <c r="F16" s="308">
        <f>IF('Gårdens info'!D16&gt;0,J73,0)</f>
        <v>0</v>
      </c>
      <c r="G16" s="151" t="s">
        <v>14</v>
      </c>
      <c r="H16" s="614">
        <f>IF('Gårdens info'!$G$16&gt;0,F16/'Gårdens info'!$G$16,)</f>
        <v>0</v>
      </c>
      <c r="I16" s="151" t="s">
        <v>6</v>
      </c>
      <c r="J16" s="298">
        <f>F16*'Gårdens info'!$D$16</f>
        <v>0</v>
      </c>
      <c r="K16" s="151" t="s">
        <v>365</v>
      </c>
      <c r="L16" s="297"/>
      <c r="M16" s="300"/>
      <c r="N16" s="288"/>
      <c r="O16" s="812">
        <f t="shared" si="0"/>
        <v>0</v>
      </c>
      <c r="P16" s="151"/>
      <c r="Q16" s="362" t="str">
        <f t="shared" si="1"/>
        <v>förpackning X</v>
      </c>
      <c r="R16" s="151"/>
      <c r="S16" s="454">
        <v>0</v>
      </c>
      <c r="T16" s="317"/>
      <c r="U16" s="300" t="s">
        <v>6</v>
      </c>
    </row>
    <row r="17" spans="1:29" s="91" customFormat="1" ht="15.6" thickBot="1" x14ac:dyDescent="0.3">
      <c r="A17" s="100"/>
      <c r="B17" s="296"/>
      <c r="C17" s="289" t="s">
        <v>244</v>
      </c>
      <c r="D17" s="297"/>
      <c r="E17" s="297"/>
      <c r="F17" s="298">
        <f>IF('Gårdens info'!D16&gt;0,J83,0)</f>
        <v>0</v>
      </c>
      <c r="G17" s="151" t="s">
        <v>14</v>
      </c>
      <c r="H17" s="614">
        <f>IF('Gårdens info'!$G$16&gt;0,F17/'Gårdens info'!$G$16,)</f>
        <v>0</v>
      </c>
      <c r="I17" s="151" t="s">
        <v>6</v>
      </c>
      <c r="J17" s="298">
        <f>F17*'Gårdens info'!$D$16</f>
        <v>0</v>
      </c>
      <c r="K17" s="151" t="s">
        <v>365</v>
      </c>
      <c r="L17" s="297"/>
      <c r="M17" s="300"/>
      <c r="N17" s="442"/>
      <c r="O17" s="812">
        <f t="shared" si="0"/>
        <v>0</v>
      </c>
      <c r="P17" s="151" t="s">
        <v>21</v>
      </c>
      <c r="Q17" s="362" t="str">
        <f t="shared" si="1"/>
        <v>förpackning X</v>
      </c>
      <c r="R17" s="151"/>
      <c r="S17" s="453">
        <v>0</v>
      </c>
      <c r="T17" s="317"/>
      <c r="U17" s="300" t="s">
        <v>6</v>
      </c>
    </row>
    <row r="18" spans="1:29" s="91" customFormat="1" ht="17.399999999999999" x14ac:dyDescent="0.3">
      <c r="A18" s="100"/>
      <c r="B18" s="296"/>
      <c r="C18" s="289" t="s">
        <v>245</v>
      </c>
      <c r="D18" s="297"/>
      <c r="E18" s="297"/>
      <c r="F18" s="298">
        <f>IF('Gårdens info'!D16&gt;0,J102,0)</f>
        <v>0</v>
      </c>
      <c r="G18" s="151" t="s">
        <v>14</v>
      </c>
      <c r="H18" s="614">
        <f>IF('Gårdens info'!$G$16&gt;0,F18/'Gårdens info'!$G$16,)</f>
        <v>0</v>
      </c>
      <c r="I18" s="151" t="s">
        <v>6</v>
      </c>
      <c r="J18" s="298">
        <f>F18*'Gårdens info'!$D$16</f>
        <v>0</v>
      </c>
      <c r="K18" s="151" t="s">
        <v>365</v>
      </c>
      <c r="L18" s="297"/>
      <c r="M18" s="300"/>
      <c r="N18" s="446"/>
      <c r="O18" s="946" t="s">
        <v>196</v>
      </c>
      <c r="P18" s="946"/>
      <c r="Q18" s="946"/>
      <c r="R18" s="153"/>
      <c r="S18" s="450">
        <f>SUM(S10:S17)</f>
        <v>1</v>
      </c>
      <c r="T18" s="153"/>
      <c r="U18" s="295"/>
    </row>
    <row r="19" spans="1:29" s="91" customFormat="1" ht="15.6" x14ac:dyDescent="0.3">
      <c r="A19" s="100"/>
      <c r="B19" s="296"/>
      <c r="C19" s="289" t="s">
        <v>246</v>
      </c>
      <c r="D19" s="297"/>
      <c r="E19" s="297"/>
      <c r="F19" s="298">
        <f>IF('Gårdens info'!D16&gt;0,J115,0)</f>
        <v>0</v>
      </c>
      <c r="G19" s="151" t="s">
        <v>14</v>
      </c>
      <c r="H19" s="614">
        <f>IF('Gårdens info'!$G$16&gt;0,F19/'Gårdens info'!$G$16,)</f>
        <v>0</v>
      </c>
      <c r="I19" s="151" t="s">
        <v>6</v>
      </c>
      <c r="J19" s="298">
        <f>F19*'Gårdens info'!$D$16</f>
        <v>0</v>
      </c>
      <c r="K19" s="151" t="s">
        <v>365</v>
      </c>
      <c r="L19" s="297"/>
      <c r="M19" s="300"/>
      <c r="N19" s="288"/>
      <c r="O19" s="451" t="str">
        <f>IF(S18=100%," ","HUOM! Osuus myyynneistä pitää summautua 100 prosenttiin")</f>
        <v xml:space="preserve"> </v>
      </c>
      <c r="P19" s="151"/>
      <c r="R19" s="151"/>
      <c r="S19" s="151"/>
      <c r="T19" s="151"/>
      <c r="U19" s="300"/>
    </row>
    <row r="20" spans="1:29" s="91" customFormat="1" ht="15.6" thickBot="1" x14ac:dyDescent="0.3">
      <c r="A20" s="100"/>
      <c r="B20" s="296"/>
      <c r="C20" s="289" t="s">
        <v>247</v>
      </c>
      <c r="D20" s="297"/>
      <c r="E20" s="297"/>
      <c r="F20" s="298">
        <f>IF('Gårdens info'!D16&gt;0,J123,0)</f>
        <v>0</v>
      </c>
      <c r="G20" s="151" t="s">
        <v>14</v>
      </c>
      <c r="H20" s="614">
        <f>IF('Gårdens info'!$G$16&gt;0,F20/'Gårdens info'!$G$16,)</f>
        <v>0</v>
      </c>
      <c r="I20" s="151" t="s">
        <v>6</v>
      </c>
      <c r="J20" s="298">
        <f>F20*'Gårdens info'!$D$16</f>
        <v>0</v>
      </c>
      <c r="K20" s="151" t="s">
        <v>365</v>
      </c>
      <c r="L20" s="297"/>
      <c r="M20" s="300"/>
      <c r="N20" s="447"/>
      <c r="O20" s="448"/>
      <c r="P20" s="448"/>
      <c r="Q20" s="448"/>
      <c r="R20" s="448"/>
      <c r="S20" s="448"/>
      <c r="T20" s="448"/>
      <c r="U20" s="449"/>
    </row>
    <row r="21" spans="1:29" s="91" customFormat="1" ht="15" x14ac:dyDescent="0.25">
      <c r="A21" s="100"/>
      <c r="B21" s="296"/>
      <c r="C21" s="289" t="s">
        <v>248</v>
      </c>
      <c r="D21" s="297"/>
      <c r="E21" s="297"/>
      <c r="F21" s="298">
        <f>IF('Gårdens info'!D16&gt;0,J131,0)</f>
        <v>0</v>
      </c>
      <c r="G21" s="151" t="s">
        <v>14</v>
      </c>
      <c r="H21" s="614">
        <f>IF('Gårdens info'!$G$16&gt;0,F21/'Gårdens info'!$G$16,)</f>
        <v>0</v>
      </c>
      <c r="I21" s="151" t="s">
        <v>6</v>
      </c>
      <c r="J21" s="298">
        <f>F21*'Gårdens info'!$D$16</f>
        <v>0</v>
      </c>
      <c r="K21" s="151" t="s">
        <v>365</v>
      </c>
      <c r="L21" s="297"/>
      <c r="M21" s="300"/>
    </row>
    <row r="22" spans="1:29" s="91" customFormat="1" ht="15" x14ac:dyDescent="0.25">
      <c r="A22" s="100"/>
      <c r="B22" s="296"/>
      <c r="C22" s="289" t="s">
        <v>249</v>
      </c>
      <c r="D22" s="297"/>
      <c r="E22" s="297"/>
      <c r="F22" s="298">
        <f>IF('Gårdens info'!D16&gt;0,J143,0)</f>
        <v>0</v>
      </c>
      <c r="G22" s="151" t="s">
        <v>14</v>
      </c>
      <c r="H22" s="614">
        <f>IF('Gårdens info'!$G$16&gt;0,F22/'Gårdens info'!$G$16,)</f>
        <v>0</v>
      </c>
      <c r="I22" s="151" t="s">
        <v>6</v>
      </c>
      <c r="J22" s="298">
        <f>F22*'Gårdens info'!$D$16</f>
        <v>0</v>
      </c>
      <c r="K22" s="151" t="s">
        <v>365</v>
      </c>
      <c r="L22" s="297"/>
      <c r="M22" s="300"/>
    </row>
    <row r="23" spans="1:29" s="91" customFormat="1" ht="15" x14ac:dyDescent="0.25">
      <c r="A23" s="100"/>
      <c r="B23" s="296"/>
      <c r="C23" s="289" t="s">
        <v>250</v>
      </c>
      <c r="D23" s="297"/>
      <c r="E23" s="297"/>
      <c r="F23" s="298">
        <f>IF('Gårdens info'!D16&gt;0,L169,0)</f>
        <v>0</v>
      </c>
      <c r="G23" s="151" t="s">
        <v>14</v>
      </c>
      <c r="H23" s="614">
        <f>IF('Gårdens info'!$G$16&gt;0,F23/'Gårdens info'!$G$16,)</f>
        <v>0</v>
      </c>
      <c r="I23" s="151" t="s">
        <v>6</v>
      </c>
      <c r="J23" s="298">
        <f>F23*'Gårdens info'!$D$16</f>
        <v>0</v>
      </c>
      <c r="K23" s="151" t="s">
        <v>365</v>
      </c>
      <c r="L23" s="297"/>
      <c r="M23" s="300"/>
    </row>
    <row r="24" spans="1:29" ht="15.6" x14ac:dyDescent="0.3">
      <c r="B24" s="312"/>
      <c r="C24" s="301" t="s">
        <v>196</v>
      </c>
      <c r="D24" s="302"/>
      <c r="E24" s="302"/>
      <c r="F24" s="303">
        <f>SUM(F16:F23)</f>
        <v>0</v>
      </c>
      <c r="G24" s="304" t="s">
        <v>14</v>
      </c>
      <c r="H24" s="615">
        <f>SUM(H16:H23)</f>
        <v>0</v>
      </c>
      <c r="I24" s="304" t="s">
        <v>6</v>
      </c>
      <c r="J24" s="303">
        <f>SUM(J16:J23)</f>
        <v>0</v>
      </c>
      <c r="K24" s="304" t="s">
        <v>365</v>
      </c>
      <c r="L24" s="302"/>
      <c r="M24" s="313"/>
      <c r="N24" s="91"/>
      <c r="O24" s="91"/>
      <c r="P24" s="91"/>
      <c r="Q24" s="91"/>
      <c r="R24" s="91"/>
      <c r="S24" s="91"/>
      <c r="T24" s="91"/>
      <c r="U24" s="91"/>
    </row>
    <row r="25" spans="1:29" s="77" customFormat="1" ht="17.399999999999999" x14ac:dyDescent="0.3">
      <c r="A25" s="785"/>
      <c r="B25" s="292"/>
      <c r="C25" s="306"/>
      <c r="D25" s="307"/>
      <c r="E25" s="307"/>
      <c r="F25" s="308"/>
      <c r="G25" s="151"/>
      <c r="H25" s="616"/>
      <c r="I25" s="307"/>
      <c r="J25" s="307"/>
      <c r="K25" s="307"/>
      <c r="L25" s="307"/>
      <c r="M25" s="287"/>
      <c r="N25" s="91"/>
      <c r="O25" s="91"/>
      <c r="P25" s="91"/>
      <c r="R25" s="91"/>
      <c r="S25" s="91"/>
      <c r="T25" s="91"/>
      <c r="U25" s="91"/>
      <c r="AB25" s="551" t="s">
        <v>75</v>
      </c>
      <c r="AC25" s="678">
        <f>F16</f>
        <v>0</v>
      </c>
    </row>
    <row r="26" spans="1:29" s="91" customFormat="1" ht="17.399999999999999" customHeight="1" x14ac:dyDescent="0.3">
      <c r="A26" s="100"/>
      <c r="B26" s="947" t="s">
        <v>346</v>
      </c>
      <c r="C26" s="948"/>
      <c r="D26" s="948"/>
      <c r="E26" s="948"/>
      <c r="F26" s="325">
        <f>IF('Gårdens info'!D16&gt;0,J26/'Gårdens info'!D16,0)</f>
        <v>0</v>
      </c>
      <c r="G26" s="304" t="s">
        <v>14</v>
      </c>
      <c r="H26" s="617">
        <f>IF('Gårdens info'!G16&gt;0,F26/'Gårdens info'!G16,0)</f>
        <v>0</v>
      </c>
      <c r="I26" s="304" t="s">
        <v>6</v>
      </c>
      <c r="J26" s="320">
        <f>'Gårdens info'!G147/'Gårdens info'!D37*'Gårdens info'!D16</f>
        <v>0</v>
      </c>
      <c r="K26" s="304" t="s">
        <v>365</v>
      </c>
      <c r="L26" s="327"/>
      <c r="M26" s="321"/>
      <c r="N26"/>
      <c r="O26"/>
      <c r="P26"/>
      <c r="S26"/>
      <c r="T26"/>
      <c r="U26"/>
      <c r="AB26" s="457" t="str">
        <f t="shared" ref="AB26:AB32" si="2">C17</f>
        <v>Gödsel och kalk</v>
      </c>
      <c r="AC26" s="678">
        <f t="shared" ref="AC26:AC32" si="3">F17</f>
        <v>0</v>
      </c>
    </row>
    <row r="27" spans="1:29" s="91" customFormat="1" ht="17.399999999999999" customHeight="1" x14ac:dyDescent="0.3">
      <c r="A27" s="100"/>
      <c r="B27" s="949" t="s">
        <v>347</v>
      </c>
      <c r="C27" s="950"/>
      <c r="D27" s="950"/>
      <c r="E27" s="950"/>
      <c r="F27" s="325">
        <f>'Gårdens info'!$G$42*'Gårdens info'!$D$42/'Gårdens info'!$D$37*'Gårdens info'!D16</f>
        <v>0</v>
      </c>
      <c r="G27" s="304" t="s">
        <v>14</v>
      </c>
      <c r="H27" s="617">
        <f>IF('Gårdens info'!G16&gt;0,F27/'Gårdens info'!G16,0)</f>
        <v>0</v>
      </c>
      <c r="I27" s="304" t="s">
        <v>6</v>
      </c>
      <c r="J27" s="320">
        <f>F27*'Gårdens info'!D16</f>
        <v>0</v>
      </c>
      <c r="K27" s="304" t="s">
        <v>365</v>
      </c>
      <c r="L27" s="327"/>
      <c r="M27" s="321"/>
      <c r="N27" s="77"/>
      <c r="O27" s="77"/>
      <c r="P27" s="77"/>
      <c r="S27" s="77"/>
      <c r="T27" s="77"/>
      <c r="U27" s="77"/>
      <c r="AB27" s="457" t="str">
        <f t="shared" si="2"/>
        <v>IPM Växtskydd</v>
      </c>
      <c r="AC27" s="678">
        <f t="shared" si="3"/>
        <v>0</v>
      </c>
    </row>
    <row r="28" spans="1:29" s="91" customFormat="1" ht="21" customHeight="1" x14ac:dyDescent="0.4">
      <c r="A28" s="100"/>
      <c r="B28" s="932" t="s">
        <v>226</v>
      </c>
      <c r="C28" s="933"/>
      <c r="D28" s="933"/>
      <c r="E28" s="324"/>
      <c r="F28" s="328">
        <f>F24+F26+F27</f>
        <v>0</v>
      </c>
      <c r="G28" s="329" t="s">
        <v>14</v>
      </c>
      <c r="H28" s="618">
        <f>H24+H26+H27</f>
        <v>0</v>
      </c>
      <c r="I28" s="329" t="s">
        <v>6</v>
      </c>
      <c r="J28" s="331">
        <f>J24+J26+J27</f>
        <v>0</v>
      </c>
      <c r="K28" s="329" t="s">
        <v>365</v>
      </c>
      <c r="L28" s="329"/>
      <c r="M28" s="321"/>
      <c r="AB28" s="457" t="str">
        <f t="shared" si="2"/>
        <v>Packningsmaterial</v>
      </c>
      <c r="AC28" s="678">
        <f t="shared" si="3"/>
        <v>0</v>
      </c>
    </row>
    <row r="29" spans="1:29" s="91" customFormat="1" ht="21" x14ac:dyDescent="0.4">
      <c r="A29" s="100"/>
      <c r="B29" s="832"/>
      <c r="C29" s="833"/>
      <c r="D29" s="833"/>
      <c r="E29" s="324"/>
      <c r="F29" s="328"/>
      <c r="G29" s="329"/>
      <c r="H29" s="330"/>
      <c r="I29" s="329"/>
      <c r="J29" s="331"/>
      <c r="K29" s="329"/>
      <c r="L29" s="329"/>
      <c r="M29" s="321"/>
      <c r="AB29" s="457" t="str">
        <f t="shared" si="2"/>
        <v>Fraktkostnader</v>
      </c>
      <c r="AC29" s="678">
        <f t="shared" si="3"/>
        <v>0</v>
      </c>
    </row>
    <row r="30" spans="1:29" s="91" customFormat="1" ht="21" x14ac:dyDescent="0.4">
      <c r="A30" s="100"/>
      <c r="B30" s="319" t="s">
        <v>348</v>
      </c>
      <c r="C30" s="286"/>
      <c r="D30" s="148"/>
      <c r="E30" s="148"/>
      <c r="F30" s="148"/>
      <c r="G30" s="148"/>
      <c r="H30" s="148"/>
      <c r="I30" s="148"/>
      <c r="J30" s="293"/>
      <c r="K30" s="148"/>
      <c r="L30" s="148"/>
      <c r="M30" s="287"/>
      <c r="AB30" s="457" t="str">
        <f t="shared" si="2"/>
        <v>Maskinkostnader och entreprenad</v>
      </c>
      <c r="AC30" s="678">
        <f t="shared" si="3"/>
        <v>0</v>
      </c>
    </row>
    <row r="31" spans="1:29" s="91" customFormat="1" ht="21" customHeight="1" x14ac:dyDescent="0.4">
      <c r="A31" s="100"/>
      <c r="B31" s="947" t="s">
        <v>149</v>
      </c>
      <c r="C31" s="948"/>
      <c r="D31" s="833"/>
      <c r="E31" s="324"/>
      <c r="F31" s="328"/>
      <c r="G31" s="329"/>
      <c r="H31" s="330"/>
      <c r="I31" s="329"/>
      <c r="J31" s="331"/>
      <c r="K31" s="329"/>
      <c r="L31" s="329"/>
      <c r="M31" s="321"/>
      <c r="AB31" s="457" t="str">
        <f t="shared" si="2"/>
        <v>Energikostnader</v>
      </c>
      <c r="AC31" s="678">
        <f t="shared" si="3"/>
        <v>0</v>
      </c>
    </row>
    <row r="32" spans="1:29" s="91" customFormat="1" ht="21" x14ac:dyDescent="0.4">
      <c r="A32" s="100"/>
      <c r="B32" s="350"/>
      <c r="C32" s="838" t="s">
        <v>264</v>
      </c>
      <c r="D32" s="833"/>
      <c r="E32" s="324"/>
      <c r="F32" s="338">
        <f>IF('Gårdens info'!$D$16&gt;0,J32/'Gårdens info'!$D$16,0)</f>
        <v>0</v>
      </c>
      <c r="G32" s="151" t="s">
        <v>14</v>
      </c>
      <c r="H32" s="613">
        <f>IF('Gårdens info'!$G$16&gt;0,F32/'Gårdens info'!$G$16,0)</f>
        <v>0</v>
      </c>
      <c r="I32" s="151" t="s">
        <v>6</v>
      </c>
      <c r="J32" s="298">
        <f>Ägendom!AO22</f>
        <v>0</v>
      </c>
      <c r="K32" s="151" t="s">
        <v>365</v>
      </c>
      <c r="L32" s="329"/>
      <c r="M32" s="321"/>
      <c r="AB32" s="457" t="str">
        <f t="shared" si="2"/>
        <v>Anställd arbetskraft</v>
      </c>
      <c r="AC32" s="678">
        <f t="shared" si="3"/>
        <v>0</v>
      </c>
    </row>
    <row r="33" spans="1:29" s="236" customFormat="1" ht="21" x14ac:dyDescent="0.4">
      <c r="A33" s="786"/>
      <c r="B33" s="350"/>
      <c r="C33" s="838" t="s">
        <v>265</v>
      </c>
      <c r="D33" s="833"/>
      <c r="E33" s="324"/>
      <c r="F33" s="338">
        <f>IF('Gårdens info'!$D$16&gt;0,J33/'Gårdens info'!$D$16,0)</f>
        <v>0</v>
      </c>
      <c r="G33" s="151" t="s">
        <v>14</v>
      </c>
      <c r="H33" s="613">
        <f>IF('Gårdens info'!$G$16&gt;0,F33/'Gårdens info'!$G$16,0)</f>
        <v>0</v>
      </c>
      <c r="I33" s="151" t="s">
        <v>6</v>
      </c>
      <c r="J33" s="298">
        <f>Ägendom!BK22</f>
        <v>0</v>
      </c>
      <c r="K33" s="151" t="s">
        <v>365</v>
      </c>
      <c r="L33" s="329"/>
      <c r="M33" s="321"/>
      <c r="N33" s="91"/>
      <c r="O33" s="91"/>
      <c r="P33" s="91"/>
      <c r="S33" s="91"/>
      <c r="T33" s="91"/>
      <c r="U33" s="91"/>
      <c r="AB33" s="459" t="s">
        <v>17</v>
      </c>
      <c r="AC33" s="459">
        <f>F26</f>
        <v>0</v>
      </c>
    </row>
    <row r="34" spans="1:29" ht="17.399999999999999" customHeight="1" x14ac:dyDescent="0.3">
      <c r="B34" s="350"/>
      <c r="C34" s="941" t="s">
        <v>266</v>
      </c>
      <c r="D34" s="941"/>
      <c r="E34" s="324"/>
      <c r="F34" s="338">
        <f>IF('Gårdens info'!$D$16&gt;0,J34/'Gårdens info'!$D$16,0)</f>
        <v>0</v>
      </c>
      <c r="G34" s="151" t="s">
        <v>14</v>
      </c>
      <c r="H34" s="613">
        <f>IF('Gårdens info'!$G$16&gt;0,F34/'Gårdens info'!$G$16,0)</f>
        <v>0</v>
      </c>
      <c r="I34" s="151" t="s">
        <v>6</v>
      </c>
      <c r="J34" s="298">
        <f>Ägendom!CG22</f>
        <v>0</v>
      </c>
      <c r="K34" s="151" t="s">
        <v>365</v>
      </c>
      <c r="L34" s="329"/>
      <c r="M34" s="321"/>
      <c r="N34" s="91"/>
      <c r="O34" s="91"/>
      <c r="P34" s="91"/>
      <c r="S34" s="91"/>
      <c r="T34" s="91"/>
      <c r="U34" s="91"/>
      <c r="AB34" s="457" t="s">
        <v>51</v>
      </c>
      <c r="AC34" s="459">
        <f>F27</f>
        <v>0</v>
      </c>
    </row>
    <row r="35" spans="1:29" ht="21" x14ac:dyDescent="0.4">
      <c r="B35" s="350"/>
      <c r="C35" s="838" t="s">
        <v>267</v>
      </c>
      <c r="D35" s="833"/>
      <c r="E35" s="324"/>
      <c r="F35" s="338">
        <f>IF('Gårdens info'!$D$16&gt;0,J35/'Gårdens info'!$D$16,0)</f>
        <v>0</v>
      </c>
      <c r="G35" s="151" t="s">
        <v>14</v>
      </c>
      <c r="H35" s="613">
        <f>IF('Gårdens info'!$G$16&gt;0,F35/'Gårdens info'!$G$16,0)</f>
        <v>0</v>
      </c>
      <c r="I35" s="151" t="s">
        <v>6</v>
      </c>
      <c r="J35" s="298">
        <f>Ägendom!DC22</f>
        <v>0</v>
      </c>
      <c r="K35" s="151" t="s">
        <v>365</v>
      </c>
      <c r="L35" s="329"/>
      <c r="M35" s="321"/>
      <c r="N35" s="236"/>
      <c r="O35" s="236"/>
      <c r="P35" s="236"/>
      <c r="S35" s="236"/>
      <c r="T35" s="236"/>
      <c r="U35" s="236"/>
      <c r="AB35" s="457" t="s">
        <v>12</v>
      </c>
      <c r="AC35" s="460">
        <f>F36</f>
        <v>0</v>
      </c>
    </row>
    <row r="36" spans="1:29" ht="20.399999999999999" x14ac:dyDescent="0.35">
      <c r="B36" s="352"/>
      <c r="C36" s="340" t="s">
        <v>196</v>
      </c>
      <c r="D36" s="341"/>
      <c r="E36" s="324"/>
      <c r="F36" s="342">
        <f>SUM(F32:F35)</f>
        <v>0</v>
      </c>
      <c r="G36" s="151" t="s">
        <v>14</v>
      </c>
      <c r="H36" s="620">
        <f t="shared" ref="H36:J36" si="4">SUM(H32:H35)</f>
        <v>0</v>
      </c>
      <c r="I36" s="151" t="s">
        <v>6</v>
      </c>
      <c r="J36" s="342">
        <f t="shared" si="4"/>
        <v>0</v>
      </c>
      <c r="K36" s="151" t="s">
        <v>365</v>
      </c>
      <c r="L36" s="343"/>
      <c r="M36" s="321"/>
      <c r="AB36" s="457" t="s">
        <v>13</v>
      </c>
      <c r="AC36" s="461">
        <f>F43</f>
        <v>0</v>
      </c>
    </row>
    <row r="37" spans="1:29" s="91" customFormat="1" ht="21" x14ac:dyDescent="0.4">
      <c r="A37" s="100"/>
      <c r="B37" s="350"/>
      <c r="C37" s="838"/>
      <c r="D37" s="833"/>
      <c r="E37" s="324"/>
      <c r="F37" s="338"/>
      <c r="G37" s="151"/>
      <c r="H37" s="339"/>
      <c r="I37" s="151"/>
      <c r="J37" s="298"/>
      <c r="K37" s="151"/>
      <c r="L37" s="329"/>
      <c r="M37" s="321"/>
      <c r="N37"/>
      <c r="O37"/>
      <c r="P37"/>
      <c r="S37"/>
      <c r="T37"/>
      <c r="U37"/>
      <c r="AB37" s="457" t="s">
        <v>50</v>
      </c>
      <c r="AC37" s="461">
        <f>F50</f>
        <v>0</v>
      </c>
    </row>
    <row r="38" spans="1:29" s="91" customFormat="1" ht="17.399999999999999" customHeight="1" x14ac:dyDescent="0.3">
      <c r="A38" s="100"/>
      <c r="B38" s="947" t="s">
        <v>150</v>
      </c>
      <c r="C38" s="948"/>
      <c r="D38" s="948"/>
      <c r="E38" s="324"/>
      <c r="F38" s="338"/>
      <c r="G38" s="151"/>
      <c r="H38" s="339"/>
      <c r="I38" s="151"/>
      <c r="J38" s="298"/>
      <c r="K38" s="151"/>
      <c r="L38" s="329"/>
      <c r="M38" s="321"/>
      <c r="N38"/>
      <c r="O38"/>
      <c r="P38"/>
      <c r="S38"/>
      <c r="T38"/>
      <c r="U38"/>
      <c r="AB38" s="457" t="s">
        <v>23</v>
      </c>
      <c r="AC38" s="461">
        <f>F56</f>
        <v>0</v>
      </c>
    </row>
    <row r="39" spans="1:29" s="91" customFormat="1" ht="21" x14ac:dyDescent="0.4">
      <c r="A39" s="100"/>
      <c r="B39" s="350"/>
      <c r="C39" s="838" t="s">
        <v>264</v>
      </c>
      <c r="D39" s="833"/>
      <c r="E39" s="324"/>
      <c r="F39" s="338">
        <f>IF('Gårdens info'!$D$16&gt;0,J39/'Gårdens info'!$D$16,0)</f>
        <v>0</v>
      </c>
      <c r="G39" s="151" t="s">
        <v>14</v>
      </c>
      <c r="H39" s="613">
        <f>IF('Gårdens info'!$G$16&gt;0,F39/'Gårdens info'!$G$16,0)</f>
        <v>0</v>
      </c>
      <c r="I39" s="151" t="s">
        <v>6</v>
      </c>
      <c r="J39" s="298">
        <f>Ägendom!AO51</f>
        <v>0</v>
      </c>
      <c r="K39" s="151" t="s">
        <v>365</v>
      </c>
      <c r="L39" s="329"/>
      <c r="M39" s="321"/>
      <c r="AB39" s="457" t="s">
        <v>44</v>
      </c>
      <c r="AC39" s="459">
        <f>F62</f>
        <v>0</v>
      </c>
    </row>
    <row r="40" spans="1:29" s="8" customFormat="1" ht="21" x14ac:dyDescent="0.4">
      <c r="A40" s="264"/>
      <c r="B40" s="350"/>
      <c r="C40" s="838" t="s">
        <v>265</v>
      </c>
      <c r="D40" s="833"/>
      <c r="E40" s="324"/>
      <c r="F40" s="338">
        <f>IF('Gårdens info'!$D$16&gt;0,J40/'Gårdens info'!$D$16,0)</f>
        <v>0</v>
      </c>
      <c r="G40" s="151" t="s">
        <v>14</v>
      </c>
      <c r="H40" s="613">
        <f>IF('Gårdens info'!$G$16&gt;0,F40/'Gårdens info'!$G$16,0)</f>
        <v>0</v>
      </c>
      <c r="I40" s="151" t="s">
        <v>6</v>
      </c>
      <c r="J40" s="298">
        <f>Ägendom!BK51</f>
        <v>0</v>
      </c>
      <c r="K40" s="151" t="s">
        <v>365</v>
      </c>
      <c r="L40" s="329"/>
      <c r="M40" s="321"/>
      <c r="N40" s="91"/>
      <c r="O40" s="91"/>
      <c r="P40" s="91"/>
      <c r="Q40" s="91"/>
      <c r="R40" s="91"/>
      <c r="S40" s="91"/>
      <c r="T40" s="91"/>
      <c r="U40" s="91"/>
      <c r="AB40" s="679"/>
      <c r="AC40" s="679"/>
    </row>
    <row r="41" spans="1:29" s="8" customFormat="1" ht="17.399999999999999" customHeight="1" x14ac:dyDescent="0.3">
      <c r="A41" s="264"/>
      <c r="B41" s="350"/>
      <c r="C41" s="941" t="s">
        <v>266</v>
      </c>
      <c r="D41" s="941"/>
      <c r="E41" s="324"/>
      <c r="F41" s="338">
        <f>IF('Gårdens info'!$D$16&gt;0,J41/'Gårdens info'!$D$16,0)</f>
        <v>0</v>
      </c>
      <c r="G41" s="151" t="s">
        <v>14</v>
      </c>
      <c r="H41" s="613">
        <f>IF('Gårdens info'!$G$16&gt;0,F41/'Gårdens info'!$G$16,0)</f>
        <v>0</v>
      </c>
      <c r="I41" s="151" t="s">
        <v>6</v>
      </c>
      <c r="J41" s="298">
        <f>Ägendom!CG51</f>
        <v>0</v>
      </c>
      <c r="K41" s="151" t="s">
        <v>365</v>
      </c>
      <c r="L41" s="329"/>
      <c r="M41" s="321"/>
      <c r="N41" s="91"/>
      <c r="O41" s="91"/>
      <c r="P41" s="91"/>
      <c r="Q41" s="91"/>
      <c r="R41" s="91"/>
      <c r="S41" s="91"/>
      <c r="T41" s="91"/>
      <c r="U41" s="91"/>
    </row>
    <row r="42" spans="1:29" s="8" customFormat="1" ht="21" x14ac:dyDescent="0.4">
      <c r="A42" s="264"/>
      <c r="B42" s="350"/>
      <c r="C42" s="838" t="s">
        <v>267</v>
      </c>
      <c r="D42" s="833"/>
      <c r="E42" s="324"/>
      <c r="F42" s="338">
        <f>IF('Gårdens info'!$D$16&gt;0,J42/'Gårdens info'!$D$16,0)</f>
        <v>0</v>
      </c>
      <c r="G42" s="151" t="s">
        <v>14</v>
      </c>
      <c r="H42" s="613">
        <f>IF('Gårdens info'!$G$16&gt;0,F42/'Gårdens info'!$G$16,0)</f>
        <v>0</v>
      </c>
      <c r="I42" s="151" t="s">
        <v>6</v>
      </c>
      <c r="J42" s="298">
        <f>Ägendom!DC51</f>
        <v>0</v>
      </c>
      <c r="K42" s="151" t="s">
        <v>365</v>
      </c>
      <c r="L42" s="329"/>
      <c r="M42" s="321"/>
    </row>
    <row r="43" spans="1:29" s="8" customFormat="1" ht="20.399999999999999" x14ac:dyDescent="0.35">
      <c r="A43" s="264"/>
      <c r="B43" s="352"/>
      <c r="C43" s="340" t="s">
        <v>196</v>
      </c>
      <c r="D43" s="341"/>
      <c r="E43" s="324"/>
      <c r="F43" s="342">
        <f>SUM(F39:F42)</f>
        <v>0</v>
      </c>
      <c r="G43" s="151" t="s">
        <v>14</v>
      </c>
      <c r="H43" s="620">
        <f t="shared" ref="H43:J43" si="5">SUM(H39:H42)</f>
        <v>0</v>
      </c>
      <c r="I43" s="151" t="s">
        <v>6</v>
      </c>
      <c r="J43" s="342">
        <f t="shared" si="5"/>
        <v>0</v>
      </c>
      <c r="K43" s="151" t="s">
        <v>365</v>
      </c>
      <c r="L43" s="343"/>
      <c r="M43" s="321"/>
    </row>
    <row r="44" spans="1:29" s="8" customFormat="1" ht="21" x14ac:dyDescent="0.4">
      <c r="A44" s="264"/>
      <c r="B44" s="350"/>
      <c r="C44" s="838"/>
      <c r="D44" s="833"/>
      <c r="E44" s="324"/>
      <c r="F44" s="338"/>
      <c r="G44" s="151"/>
      <c r="H44" s="339"/>
      <c r="I44" s="151"/>
      <c r="J44" s="298"/>
      <c r="K44" s="151"/>
      <c r="L44" s="329"/>
      <c r="M44" s="321"/>
    </row>
    <row r="45" spans="1:29" s="8" customFormat="1" ht="43.05" customHeight="1" x14ac:dyDescent="0.3">
      <c r="A45" s="264"/>
      <c r="B45" s="947" t="s">
        <v>151</v>
      </c>
      <c r="C45" s="948"/>
      <c r="D45" s="948"/>
      <c r="E45" s="324"/>
      <c r="F45" s="338"/>
      <c r="G45" s="151"/>
      <c r="H45" s="339"/>
      <c r="I45" s="151"/>
      <c r="J45" s="298"/>
      <c r="K45" s="151"/>
      <c r="L45" s="329"/>
      <c r="M45" s="321"/>
    </row>
    <row r="46" spans="1:29" ht="21" x14ac:dyDescent="0.4">
      <c r="B46" s="350"/>
      <c r="C46" s="838" t="s">
        <v>264</v>
      </c>
      <c r="D46" s="833"/>
      <c r="E46" s="324"/>
      <c r="F46" s="338">
        <f>IF('Gårdens info'!$D$16&gt;0,J46/'Gårdens info'!$D$16,0)</f>
        <v>0</v>
      </c>
      <c r="G46" s="151" t="s">
        <v>14</v>
      </c>
      <c r="H46" s="613">
        <f>IF('Gårdens info'!$G$16&gt;0,F46/'Gårdens info'!$G$16,0)</f>
        <v>0</v>
      </c>
      <c r="I46" s="151" t="s">
        <v>6</v>
      </c>
      <c r="J46" s="298">
        <f>Ägendom!AO76</f>
        <v>0</v>
      </c>
      <c r="K46" s="151" t="s">
        <v>365</v>
      </c>
      <c r="L46" s="329"/>
      <c r="M46" s="321"/>
      <c r="N46" s="8"/>
      <c r="O46" s="8"/>
      <c r="P46" s="8"/>
      <c r="Q46" s="8"/>
      <c r="R46" s="8"/>
      <c r="S46" s="8"/>
      <c r="T46" s="8"/>
      <c r="U46" s="8"/>
    </row>
    <row r="47" spans="1:29" s="8" customFormat="1" ht="21" x14ac:dyDescent="0.4">
      <c r="A47" s="264"/>
      <c r="B47" s="350"/>
      <c r="C47" s="838" t="s">
        <v>265</v>
      </c>
      <c r="D47" s="833"/>
      <c r="E47" s="324"/>
      <c r="F47" s="338">
        <f>IF('Gårdens info'!$D$16&gt;0,J47/'Gårdens info'!$D$16,0)</f>
        <v>0</v>
      </c>
      <c r="G47" s="151" t="s">
        <v>14</v>
      </c>
      <c r="H47" s="613">
        <f>IF('Gårdens info'!$G$16&gt;0,F47/'Gårdens info'!$G$16,0)</f>
        <v>0</v>
      </c>
      <c r="I47" s="151" t="s">
        <v>6</v>
      </c>
      <c r="J47" s="298">
        <f>Ägendom!BK76</f>
        <v>0</v>
      </c>
      <c r="K47" s="151" t="s">
        <v>365</v>
      </c>
      <c r="L47" s="329"/>
      <c r="M47" s="321"/>
    </row>
    <row r="48" spans="1:29" s="8" customFormat="1" ht="17.399999999999999" customHeight="1" x14ac:dyDescent="0.3">
      <c r="A48" s="264"/>
      <c r="B48" s="350"/>
      <c r="C48" s="941" t="s">
        <v>266</v>
      </c>
      <c r="D48" s="941"/>
      <c r="E48" s="324"/>
      <c r="F48" s="338">
        <f>IF('Gårdens info'!$D$16&gt;0,J48/'Gårdens info'!$D$16,0)</f>
        <v>0</v>
      </c>
      <c r="G48" s="151" t="s">
        <v>14</v>
      </c>
      <c r="H48" s="613">
        <f>IF('Gårdens info'!$G$16&gt;0,F48/'Gårdens info'!$G$16,0)</f>
        <v>0</v>
      </c>
      <c r="I48" s="151" t="s">
        <v>6</v>
      </c>
      <c r="J48" s="298">
        <f>Ägendom!CG76</f>
        <v>0</v>
      </c>
      <c r="K48" s="151" t="s">
        <v>365</v>
      </c>
      <c r="L48" s="329"/>
      <c r="M48" s="321"/>
      <c r="N48"/>
      <c r="O48"/>
      <c r="P48"/>
      <c r="Q48"/>
      <c r="R48"/>
      <c r="S48"/>
      <c r="T48"/>
      <c r="U48"/>
    </row>
    <row r="49" spans="1:13" s="8" customFormat="1" ht="21" x14ac:dyDescent="0.4">
      <c r="A49" s="264"/>
      <c r="B49" s="350"/>
      <c r="C49" s="838" t="s">
        <v>267</v>
      </c>
      <c r="D49" s="833"/>
      <c r="E49" s="324"/>
      <c r="F49" s="338">
        <f>IF('Gårdens info'!$D$16&gt;0,J49/'Gårdens info'!$D$16,0)</f>
        <v>0</v>
      </c>
      <c r="G49" s="151" t="s">
        <v>14</v>
      </c>
      <c r="H49" s="613">
        <f>IF('Gårdens info'!$G$16&gt;0,F49/'Gårdens info'!$G$16,0)</f>
        <v>0</v>
      </c>
      <c r="I49" s="151" t="s">
        <v>6</v>
      </c>
      <c r="J49" s="298">
        <f>Ägendom!DC76</f>
        <v>0</v>
      </c>
      <c r="K49" s="151" t="s">
        <v>365</v>
      </c>
      <c r="L49" s="329"/>
      <c r="M49" s="321"/>
    </row>
    <row r="50" spans="1:13" s="8" customFormat="1" ht="20.399999999999999" x14ac:dyDescent="0.35">
      <c r="A50" s="264"/>
      <c r="B50" s="352"/>
      <c r="C50" s="340" t="s">
        <v>196</v>
      </c>
      <c r="D50" s="341"/>
      <c r="E50" s="324"/>
      <c r="F50" s="342">
        <f>SUM(F46:F49)</f>
        <v>0</v>
      </c>
      <c r="G50" s="151" t="s">
        <v>14</v>
      </c>
      <c r="H50" s="620">
        <f t="shared" ref="H50:J50" si="6">SUM(H46:H49)</f>
        <v>0</v>
      </c>
      <c r="I50" s="151" t="s">
        <v>6</v>
      </c>
      <c r="J50" s="342">
        <f t="shared" si="6"/>
        <v>0</v>
      </c>
      <c r="K50" s="151" t="s">
        <v>365</v>
      </c>
      <c r="L50" s="343"/>
      <c r="M50" s="321"/>
    </row>
    <row r="51" spans="1:13" s="8" customFormat="1" ht="21" x14ac:dyDescent="0.4">
      <c r="A51" s="264"/>
      <c r="B51" s="350"/>
      <c r="C51" s="838"/>
      <c r="D51" s="833"/>
      <c r="E51" s="324"/>
      <c r="F51" s="338"/>
      <c r="G51" s="151"/>
      <c r="H51" s="339"/>
      <c r="I51" s="151"/>
      <c r="J51" s="298"/>
      <c r="K51" s="151"/>
      <c r="L51" s="329"/>
      <c r="M51" s="321"/>
    </row>
    <row r="52" spans="1:13" s="8" customFormat="1" ht="21" customHeight="1" x14ac:dyDescent="0.4">
      <c r="A52" s="264"/>
      <c r="B52" s="951" t="s">
        <v>160</v>
      </c>
      <c r="C52" s="952"/>
      <c r="D52" s="833"/>
      <c r="E52" s="324"/>
      <c r="F52" s="338"/>
      <c r="G52" s="151"/>
      <c r="H52" s="339"/>
      <c r="I52" s="151"/>
      <c r="J52" s="298"/>
      <c r="K52" s="151"/>
      <c r="L52" s="329"/>
      <c r="M52" s="321"/>
    </row>
    <row r="53" spans="1:13" s="8" customFormat="1" ht="21" x14ac:dyDescent="0.4">
      <c r="A53" s="264"/>
      <c r="B53" s="350"/>
      <c r="C53" s="838" t="s">
        <v>264</v>
      </c>
      <c r="D53" s="833"/>
      <c r="E53" s="324"/>
      <c r="F53" s="338">
        <f>IF('Gårdens info'!$D$16&gt;0,J53/'Gårdens info'!$D$16,0)</f>
        <v>0</v>
      </c>
      <c r="G53" s="151" t="s">
        <v>14</v>
      </c>
      <c r="H53" s="613">
        <f>IF('Gårdens info'!$G$16&gt;0,F53/'Gårdens info'!$G$16,0)</f>
        <v>0</v>
      </c>
      <c r="I53" s="151" t="s">
        <v>6</v>
      </c>
      <c r="J53" s="298">
        <f>Ägendom!AO79</f>
        <v>0</v>
      </c>
      <c r="K53" s="151" t="s">
        <v>365</v>
      </c>
      <c r="L53" s="329"/>
      <c r="M53" s="321"/>
    </row>
    <row r="54" spans="1:13" s="8" customFormat="1" ht="19.95" customHeight="1" x14ac:dyDescent="0.4">
      <c r="A54" s="264"/>
      <c r="B54" s="350"/>
      <c r="C54" s="838" t="s">
        <v>265</v>
      </c>
      <c r="D54" s="833"/>
      <c r="E54" s="324"/>
      <c r="F54" s="338">
        <f>IF('Gårdens info'!$D$16&gt;0,J54/'Gårdens info'!$D$16,0)</f>
        <v>0</v>
      </c>
      <c r="G54" s="151" t="s">
        <v>14</v>
      </c>
      <c r="H54" s="613">
        <f>IF('Gårdens info'!$G$16&gt;0,F54/'Gårdens info'!$G$16,0)</f>
        <v>0</v>
      </c>
      <c r="I54" s="151" t="s">
        <v>6</v>
      </c>
      <c r="J54" s="298">
        <f>Ägendom!BK79</f>
        <v>0</v>
      </c>
      <c r="K54" s="151" t="s">
        <v>365</v>
      </c>
      <c r="L54" s="329"/>
      <c r="M54" s="321"/>
    </row>
    <row r="55" spans="1:13" s="8" customFormat="1" ht="17.399999999999999" customHeight="1" x14ac:dyDescent="0.3">
      <c r="A55" s="264"/>
      <c r="B55" s="350"/>
      <c r="C55" s="941" t="s">
        <v>266</v>
      </c>
      <c r="D55" s="941"/>
      <c r="E55" s="324"/>
      <c r="F55" s="338">
        <f>IF('Gårdens info'!$D$16&gt;0,J55/'Gårdens info'!$D$16,0)</f>
        <v>0</v>
      </c>
      <c r="G55" s="151" t="s">
        <v>14</v>
      </c>
      <c r="H55" s="613">
        <f>IF('Gårdens info'!$G$16&gt;0,F55/'Gårdens info'!$G$16,0)</f>
        <v>0</v>
      </c>
      <c r="I55" s="151" t="s">
        <v>6</v>
      </c>
      <c r="J55" s="298">
        <f>Ägendom!CG79</f>
        <v>0</v>
      </c>
      <c r="K55" s="151" t="s">
        <v>365</v>
      </c>
      <c r="L55" s="329"/>
      <c r="M55" s="321"/>
    </row>
    <row r="56" spans="1:13" s="8" customFormat="1" ht="15.6" x14ac:dyDescent="0.3">
      <c r="A56" s="264"/>
      <c r="B56" s="349"/>
      <c r="C56" s="323" t="s">
        <v>196</v>
      </c>
      <c r="D56" s="323"/>
      <c r="E56" s="323"/>
      <c r="F56" s="342">
        <f>SUM(F53:F55)</f>
        <v>0</v>
      </c>
      <c r="G56" s="151" t="s">
        <v>14</v>
      </c>
      <c r="H56" s="620">
        <f t="shared" ref="H56:J56" si="7">SUM(H53:H55)</f>
        <v>0</v>
      </c>
      <c r="I56" s="151" t="s">
        <v>6</v>
      </c>
      <c r="J56" s="342">
        <f t="shared" si="7"/>
        <v>0</v>
      </c>
      <c r="K56" s="151" t="s">
        <v>365</v>
      </c>
      <c r="L56" s="347"/>
      <c r="M56" s="353"/>
    </row>
    <row r="57" spans="1:13" s="8" customFormat="1" ht="21" customHeight="1" x14ac:dyDescent="0.4">
      <c r="A57" s="264"/>
      <c r="B57" s="932" t="s">
        <v>229</v>
      </c>
      <c r="C57" s="933"/>
      <c r="D57" s="933"/>
      <c r="E57" s="324"/>
      <c r="F57" s="328">
        <f>F36+F43+F50+F56</f>
        <v>0</v>
      </c>
      <c r="G57" s="329" t="s">
        <v>14</v>
      </c>
      <c r="H57" s="618">
        <f>H36+H43+H50+H56</f>
        <v>0</v>
      </c>
      <c r="I57" s="329" t="s">
        <v>6</v>
      </c>
      <c r="J57" s="331">
        <f>J36+J43+J50+J56</f>
        <v>0</v>
      </c>
      <c r="K57" s="329" t="s">
        <v>365</v>
      </c>
      <c r="L57" s="329"/>
      <c r="M57" s="321"/>
    </row>
    <row r="58" spans="1:13" s="8" customFormat="1" ht="15.6" x14ac:dyDescent="0.3">
      <c r="A58" s="264"/>
      <c r="B58" s="349"/>
      <c r="C58" s="324"/>
      <c r="D58" s="324"/>
      <c r="E58" s="324"/>
      <c r="F58" s="325"/>
      <c r="G58" s="304"/>
      <c r="H58" s="326"/>
      <c r="I58" s="304"/>
      <c r="J58" s="320"/>
      <c r="K58" s="304"/>
      <c r="L58" s="327"/>
      <c r="M58" s="321"/>
    </row>
    <row r="59" spans="1:13" s="8" customFormat="1" ht="21" x14ac:dyDescent="0.4">
      <c r="A59" s="264"/>
      <c r="B59" s="319" t="s">
        <v>230</v>
      </c>
      <c r="C59" s="324"/>
      <c r="D59" s="324"/>
      <c r="E59" s="324"/>
      <c r="F59" s="325"/>
      <c r="G59" s="304"/>
      <c r="H59" s="326"/>
      <c r="I59" s="304"/>
      <c r="J59" s="320"/>
      <c r="K59" s="304"/>
      <c r="L59" s="327"/>
      <c r="M59" s="321"/>
    </row>
    <row r="60" spans="1:13" s="8" customFormat="1" ht="15" x14ac:dyDescent="0.25">
      <c r="A60" s="264"/>
      <c r="B60" s="296"/>
      <c r="C60" s="289" t="s">
        <v>230</v>
      </c>
      <c r="D60" s="297"/>
      <c r="E60" s="297"/>
      <c r="F60" s="298">
        <f>IF('Gårdens info'!D16&gt;0,H169,0)</f>
        <v>0</v>
      </c>
      <c r="G60" s="151" t="s">
        <v>14</v>
      </c>
      <c r="H60" s="614">
        <f>IF('Gårdens info'!G16&gt;0,F60/'Gårdens info'!$G$16,0)</f>
        <v>0</v>
      </c>
      <c r="I60" s="151" t="s">
        <v>6</v>
      </c>
      <c r="J60" s="298">
        <f>F60*'Gårdens info'!D16</f>
        <v>0</v>
      </c>
      <c r="K60" s="151" t="s">
        <v>365</v>
      </c>
      <c r="L60" s="297"/>
      <c r="M60" s="300"/>
    </row>
    <row r="61" spans="1:13" s="8" customFormat="1" ht="17.399999999999999" x14ac:dyDescent="0.3">
      <c r="A61" s="264"/>
      <c r="B61" s="841"/>
      <c r="C61" s="306"/>
      <c r="D61" s="310"/>
      <c r="E61" s="310"/>
      <c r="F61" s="311"/>
      <c r="G61" s="153"/>
      <c r="H61" s="310"/>
      <c r="I61" s="310"/>
      <c r="J61" s="310"/>
      <c r="K61" s="310"/>
      <c r="L61" s="310"/>
      <c r="M61" s="295"/>
    </row>
    <row r="62" spans="1:13" s="8" customFormat="1" ht="21" customHeight="1" x14ac:dyDescent="0.4">
      <c r="A62" s="264"/>
      <c r="B62" s="932" t="s">
        <v>231</v>
      </c>
      <c r="C62" s="933"/>
      <c r="D62" s="933"/>
      <c r="E62" s="324"/>
      <c r="F62" s="328">
        <f>F60</f>
        <v>0</v>
      </c>
      <c r="G62" s="329" t="s">
        <v>14</v>
      </c>
      <c r="H62" s="618">
        <f>H60</f>
        <v>0</v>
      </c>
      <c r="I62" s="329" t="s">
        <v>6</v>
      </c>
      <c r="J62" s="331">
        <f>J60</f>
        <v>0</v>
      </c>
      <c r="K62" s="329" t="s">
        <v>365</v>
      </c>
      <c r="L62" s="329"/>
      <c r="M62" s="321"/>
    </row>
    <row r="63" spans="1:13" s="8" customFormat="1" ht="21" x14ac:dyDescent="0.4">
      <c r="A63" s="264"/>
      <c r="B63" s="832"/>
      <c r="C63" s="833"/>
      <c r="D63" s="833"/>
      <c r="E63" s="324"/>
      <c r="F63" s="328"/>
      <c r="G63" s="329"/>
      <c r="H63" s="618"/>
      <c r="I63" s="329"/>
      <c r="J63" s="331"/>
      <c r="K63" s="329"/>
      <c r="L63" s="329"/>
      <c r="M63" s="321"/>
    </row>
    <row r="64" spans="1:13" s="8" customFormat="1" ht="21" customHeight="1" x14ac:dyDescent="0.4">
      <c r="A64" s="264"/>
      <c r="B64" s="932" t="s">
        <v>268</v>
      </c>
      <c r="C64" s="933"/>
      <c r="D64" s="933"/>
      <c r="E64" s="324"/>
      <c r="F64" s="328">
        <f>F28+F57+F62</f>
        <v>0</v>
      </c>
      <c r="G64" s="329" t="s">
        <v>14</v>
      </c>
      <c r="H64" s="705">
        <f>H28+H57+H62</f>
        <v>0</v>
      </c>
      <c r="I64" s="329" t="s">
        <v>6</v>
      </c>
      <c r="J64" s="328">
        <f>J28+J57+J62</f>
        <v>0</v>
      </c>
      <c r="K64" s="329" t="s">
        <v>365</v>
      </c>
      <c r="L64" s="329"/>
      <c r="M64" s="321"/>
    </row>
    <row r="65" spans="1:21" s="8" customFormat="1" ht="21" x14ac:dyDescent="0.4">
      <c r="A65" s="264"/>
      <c r="B65" s="832"/>
      <c r="C65" s="833"/>
      <c r="D65" s="833"/>
      <c r="E65" s="324"/>
      <c r="F65" s="328"/>
      <c r="G65" s="329"/>
      <c r="H65" s="330"/>
      <c r="I65" s="329"/>
      <c r="J65" s="331"/>
      <c r="K65" s="329"/>
      <c r="L65" s="329"/>
      <c r="M65" s="321"/>
    </row>
    <row r="66" spans="1:21" s="8" customFormat="1" ht="21.6" customHeight="1" thickBot="1" x14ac:dyDescent="0.45">
      <c r="A66" s="264"/>
      <c r="B66" s="936" t="s">
        <v>269</v>
      </c>
      <c r="C66" s="937"/>
      <c r="D66" s="937"/>
      <c r="E66" s="315"/>
      <c r="F66" s="355">
        <f>F11-F28-F57-F62</f>
        <v>0</v>
      </c>
      <c r="G66" s="356" t="s">
        <v>14</v>
      </c>
      <c r="H66" s="621">
        <f>H11-H28-H57-H62</f>
        <v>0</v>
      </c>
      <c r="I66" s="356" t="s">
        <v>6</v>
      </c>
      <c r="J66" s="355">
        <f>J11-J28-J57-J62</f>
        <v>0</v>
      </c>
      <c r="K66" s="853" t="s">
        <v>365</v>
      </c>
      <c r="L66" s="356"/>
      <c r="M66" s="316"/>
    </row>
    <row r="67" spans="1:21" s="8" customFormat="1" ht="21" x14ac:dyDescent="0.4">
      <c r="A67" s="264"/>
      <c r="B67" s="76"/>
      <c r="C67"/>
      <c r="D67"/>
      <c r="E67"/>
      <c r="F67"/>
      <c r="G67"/>
      <c r="H67"/>
      <c r="I67"/>
      <c r="J67"/>
      <c r="K67"/>
      <c r="L67"/>
      <c r="M67"/>
    </row>
    <row r="68" spans="1:21" s="239" customFormat="1" ht="16.2" thickBot="1" x14ac:dyDescent="0.35">
      <c r="A68" s="787"/>
      <c r="B68"/>
      <c r="C68"/>
      <c r="D68"/>
      <c r="E68"/>
      <c r="F68"/>
      <c r="G68"/>
      <c r="H68"/>
      <c r="I68"/>
      <c r="J68"/>
      <c r="K68"/>
      <c r="L68"/>
      <c r="M68"/>
      <c r="N68" s="8"/>
      <c r="O68" s="8"/>
      <c r="P68" s="8"/>
      <c r="Q68" s="8"/>
      <c r="R68" s="8"/>
      <c r="S68" s="8"/>
      <c r="T68" s="8"/>
      <c r="U68" s="8"/>
    </row>
    <row r="69" spans="1:21" s="8" customFormat="1" ht="21.6" thickBot="1" x14ac:dyDescent="0.45">
      <c r="A69" s="264"/>
      <c r="B69" s="953" t="s">
        <v>368</v>
      </c>
      <c r="C69" s="954"/>
      <c r="D69" s="954"/>
      <c r="E69" s="955"/>
      <c r="F69"/>
      <c r="G69"/>
      <c r="H69"/>
      <c r="I69"/>
      <c r="J69"/>
      <c r="K69"/>
      <c r="L69" s="956" t="s">
        <v>271</v>
      </c>
      <c r="M69" s="956"/>
    </row>
    <row r="70" spans="1:21" s="8" customFormat="1" ht="21" x14ac:dyDescent="0.4">
      <c r="A70" s="264"/>
      <c r="B70" s="758"/>
      <c r="C70" s="758"/>
      <c r="D70" s="758"/>
      <c r="E70" s="758"/>
      <c r="F70" s="534"/>
      <c r="G70" s="534"/>
      <c r="H70" s="534"/>
      <c r="I70" s="534"/>
      <c r="J70" s="534"/>
      <c r="K70" s="534"/>
      <c r="L70" s="761"/>
      <c r="M70" s="761"/>
    </row>
    <row r="71" spans="1:21" ht="15.6" x14ac:dyDescent="0.3">
      <c r="B71" s="113" t="s">
        <v>356</v>
      </c>
      <c r="C71" s="65"/>
      <c r="D71" s="65"/>
      <c r="E71" s="65"/>
      <c r="F71" s="959" t="s">
        <v>159</v>
      </c>
      <c r="G71" s="959"/>
      <c r="H71" s="959" t="s">
        <v>158</v>
      </c>
      <c r="I71" s="959"/>
      <c r="J71" s="959" t="s">
        <v>273</v>
      </c>
      <c r="K71" s="959"/>
      <c r="L71" s="143" t="s">
        <v>274</v>
      </c>
      <c r="M71" s="67"/>
    </row>
    <row r="72" spans="1:21" ht="13.8" thickBot="1" x14ac:dyDescent="0.3">
      <c r="B72" s="69"/>
      <c r="C72" s="65"/>
      <c r="D72" s="65"/>
      <c r="E72" s="65"/>
      <c r="F72" s="65"/>
      <c r="G72" s="65"/>
      <c r="H72" s="65"/>
      <c r="I72" s="65"/>
      <c r="J72" s="67"/>
      <c r="K72" s="67"/>
      <c r="L72" s="67"/>
      <c r="M72" s="67"/>
    </row>
    <row r="73" spans="1:21" ht="13.8" thickBot="1" x14ac:dyDescent="0.3">
      <c r="B73" s="65"/>
      <c r="C73" s="66" t="s">
        <v>328</v>
      </c>
      <c r="D73" s="67"/>
      <c r="E73" s="65"/>
      <c r="F73" s="96">
        <v>30000</v>
      </c>
      <c r="G73" s="65" t="s">
        <v>327</v>
      </c>
      <c r="H73" s="96">
        <v>4.4999999999999998E-2</v>
      </c>
      <c r="I73" s="70" t="s">
        <v>152</v>
      </c>
      <c r="J73" s="235">
        <f>F73*H73</f>
        <v>1350</v>
      </c>
      <c r="K73" s="65" t="s">
        <v>14</v>
      </c>
      <c r="L73" s="65"/>
      <c r="M73" s="67"/>
    </row>
    <row r="74" spans="1:21" s="8" customFormat="1" x14ac:dyDescent="0.25">
      <c r="A74" s="264"/>
      <c r="B74" s="71"/>
      <c r="C74" s="71" t="s">
        <v>222</v>
      </c>
      <c r="D74" s="572"/>
      <c r="E74" s="71"/>
      <c r="F74" s="277"/>
      <c r="G74" s="573"/>
      <c r="H74" s="574"/>
      <c r="I74" s="279"/>
      <c r="J74" s="280"/>
      <c r="K74" s="71"/>
      <c r="L74" s="71"/>
      <c r="M74" s="71"/>
    </row>
    <row r="75" spans="1:21" x14ac:dyDescent="0.25">
      <c r="B75" s="535"/>
      <c r="C75" s="535"/>
      <c r="D75" s="569"/>
      <c r="E75" s="535"/>
      <c r="F75" s="570"/>
      <c r="G75" s="535"/>
      <c r="H75" s="307"/>
      <c r="I75" s="537"/>
      <c r="J75" s="571"/>
      <c r="K75" s="535"/>
      <c r="L75" s="534"/>
      <c r="M75" s="534"/>
    </row>
    <row r="76" spans="1:21" s="8" customFormat="1" ht="15.6" x14ac:dyDescent="0.3">
      <c r="A76" s="264"/>
      <c r="B76" s="120" t="s">
        <v>275</v>
      </c>
      <c r="C76" s="121"/>
      <c r="D76" s="121"/>
      <c r="E76" s="121"/>
      <c r="F76" s="960" t="s">
        <v>159</v>
      </c>
      <c r="G76" s="960"/>
      <c r="H76" s="960" t="s">
        <v>158</v>
      </c>
      <c r="I76" s="960"/>
      <c r="J76" s="960" t="s">
        <v>273</v>
      </c>
      <c r="K76" s="960"/>
      <c r="L76" s="123"/>
      <c r="M76" s="123"/>
    </row>
    <row r="77" spans="1:21" s="77" customFormat="1" ht="18" thickBot="1" x14ac:dyDescent="0.35">
      <c r="A77" s="785"/>
      <c r="B77" s="121"/>
      <c r="C77" s="121"/>
      <c r="D77" s="121"/>
      <c r="E77" s="121"/>
      <c r="F77" s="121"/>
      <c r="G77" s="121"/>
      <c r="H77" s="122"/>
      <c r="I77" s="122"/>
      <c r="J77" s="123"/>
      <c r="K77" s="123"/>
      <c r="L77" s="123"/>
      <c r="M77" s="123"/>
      <c r="N77" s="8"/>
      <c r="O77" s="8"/>
      <c r="P77" s="8"/>
      <c r="Q77" s="8"/>
      <c r="R77" s="8"/>
      <c r="S77" s="8"/>
      <c r="T77" s="8"/>
      <c r="U77" s="8"/>
    </row>
    <row r="78" spans="1:21" s="91" customFormat="1" ht="15.6" thickBot="1" x14ac:dyDescent="0.3">
      <c r="A78" s="100"/>
      <c r="B78" s="121"/>
      <c r="C78" s="121" t="s">
        <v>281</v>
      </c>
      <c r="D78" s="123"/>
      <c r="E78" s="121"/>
      <c r="F78" s="118">
        <v>800</v>
      </c>
      <c r="G78" s="121" t="s">
        <v>21</v>
      </c>
      <c r="H78" s="99">
        <v>0.75</v>
      </c>
      <c r="I78" s="122" t="s">
        <v>6</v>
      </c>
      <c r="J78" s="124">
        <f>F78*H78</f>
        <v>600</v>
      </c>
      <c r="K78" s="121" t="s">
        <v>14</v>
      </c>
      <c r="L78" s="123"/>
      <c r="M78" s="123"/>
      <c r="N78" s="8"/>
      <c r="O78" s="8"/>
      <c r="P78" s="8"/>
      <c r="Q78" s="8"/>
      <c r="R78" s="8"/>
      <c r="S78" s="8"/>
      <c r="T78" s="8"/>
      <c r="U78" s="8"/>
    </row>
    <row r="79" spans="1:21" s="77" customFormat="1" ht="18" thickBot="1" x14ac:dyDescent="0.35">
      <c r="A79" s="785"/>
      <c r="B79" s="121"/>
      <c r="C79" s="121" t="s">
        <v>278</v>
      </c>
      <c r="D79" s="123"/>
      <c r="E79" s="121"/>
      <c r="F79" s="96">
        <v>500</v>
      </c>
      <c r="G79" s="121" t="s">
        <v>21</v>
      </c>
      <c r="H79" s="99">
        <v>0.4</v>
      </c>
      <c r="I79" s="122" t="s">
        <v>6</v>
      </c>
      <c r="J79" s="124">
        <f t="shared" ref="J79:J82" si="8">F79*H79</f>
        <v>200</v>
      </c>
      <c r="K79" s="121" t="s">
        <v>14</v>
      </c>
      <c r="L79" s="123"/>
      <c r="M79" s="123"/>
      <c r="N79" s="91"/>
      <c r="O79" s="91"/>
      <c r="P79" s="91"/>
      <c r="Q79" s="91"/>
      <c r="R79" s="91"/>
      <c r="S79" s="91"/>
      <c r="T79" s="91"/>
      <c r="U79" s="91"/>
    </row>
    <row r="80" spans="1:21" s="91" customFormat="1" ht="15.6" thickBot="1" x14ac:dyDescent="0.3">
      <c r="A80" s="100"/>
      <c r="B80" s="121"/>
      <c r="C80" s="121" t="s">
        <v>279</v>
      </c>
      <c r="D80" s="123"/>
      <c r="E80" s="121"/>
      <c r="F80" s="96">
        <v>2000</v>
      </c>
      <c r="G80" s="121" t="s">
        <v>21</v>
      </c>
      <c r="H80" s="99">
        <v>0.46</v>
      </c>
      <c r="I80" s="122" t="s">
        <v>6</v>
      </c>
      <c r="J80" s="124">
        <f t="shared" si="8"/>
        <v>920</v>
      </c>
      <c r="K80" s="121" t="s">
        <v>14</v>
      </c>
      <c r="L80" s="123"/>
      <c r="M80" s="123"/>
      <c r="N80" s="8"/>
      <c r="O80" s="8"/>
      <c r="P80" s="8"/>
      <c r="Q80" s="8"/>
      <c r="R80" s="8"/>
      <c r="S80" s="8"/>
      <c r="T80" s="8"/>
      <c r="U80" s="8"/>
    </row>
    <row r="81" spans="1:21" s="77" customFormat="1" ht="18" thickBot="1" x14ac:dyDescent="0.35">
      <c r="A81" s="785"/>
      <c r="B81" s="121"/>
      <c r="C81" s="121" t="s">
        <v>280</v>
      </c>
      <c r="D81" s="121"/>
      <c r="E81" s="121"/>
      <c r="F81" s="96"/>
      <c r="G81" s="121" t="s">
        <v>21</v>
      </c>
      <c r="H81" s="99"/>
      <c r="I81" s="122" t="s">
        <v>6</v>
      </c>
      <c r="J81" s="124">
        <f t="shared" si="8"/>
        <v>0</v>
      </c>
      <c r="K81" s="121" t="s">
        <v>14</v>
      </c>
      <c r="L81" s="123"/>
      <c r="M81" s="123"/>
    </row>
    <row r="82" spans="1:21" ht="15.6" thickBot="1" x14ac:dyDescent="0.3">
      <c r="B82" s="121"/>
      <c r="C82" s="121" t="s">
        <v>280</v>
      </c>
      <c r="D82" s="121"/>
      <c r="E82" s="121"/>
      <c r="F82" s="96"/>
      <c r="G82" s="121" t="s">
        <v>21</v>
      </c>
      <c r="H82" s="99"/>
      <c r="I82" s="122" t="s">
        <v>6</v>
      </c>
      <c r="J82" s="124">
        <f t="shared" si="8"/>
        <v>0</v>
      </c>
      <c r="K82" s="121" t="s">
        <v>14</v>
      </c>
      <c r="L82" s="123"/>
      <c r="M82" s="123"/>
      <c r="N82" s="91"/>
      <c r="O82" s="91"/>
      <c r="P82" s="91"/>
      <c r="Q82" s="91"/>
      <c r="R82" s="91"/>
      <c r="S82" s="91"/>
      <c r="T82" s="91"/>
      <c r="U82" s="91"/>
    </row>
    <row r="83" spans="1:21" s="91" customFormat="1" ht="17.399999999999999" x14ac:dyDescent="0.3">
      <c r="A83" s="100"/>
      <c r="B83" s="270"/>
      <c r="C83" s="270" t="s">
        <v>222</v>
      </c>
      <c r="D83" s="270"/>
      <c r="E83" s="270"/>
      <c r="F83" s="270"/>
      <c r="G83" s="270"/>
      <c r="H83" s="270"/>
      <c r="I83" s="271"/>
      <c r="J83" s="272">
        <f>SUM(J78:J82)</f>
        <v>1720</v>
      </c>
      <c r="K83" s="270" t="s">
        <v>14</v>
      </c>
      <c r="L83" s="270"/>
      <c r="M83" s="270"/>
      <c r="N83" s="77"/>
      <c r="O83" s="77"/>
      <c r="P83" s="77"/>
      <c r="Q83" s="77"/>
      <c r="R83" s="77"/>
      <c r="S83" s="77"/>
      <c r="T83" s="77"/>
      <c r="U83" s="77"/>
    </row>
    <row r="84" spans="1:21" s="8" customFormat="1" x14ac:dyDescent="0.25">
      <c r="A84" s="264"/>
      <c r="B84" s="121"/>
      <c r="C84" s="121"/>
      <c r="D84" s="121"/>
      <c r="E84" s="121"/>
      <c r="F84" s="121"/>
      <c r="G84" s="121"/>
      <c r="H84" s="121"/>
      <c r="I84" s="122"/>
      <c r="J84" s="124"/>
      <c r="K84" s="121"/>
      <c r="L84" s="123"/>
      <c r="M84" s="123"/>
      <c r="N84"/>
      <c r="O84"/>
      <c r="P84"/>
      <c r="Q84"/>
      <c r="R84"/>
      <c r="S84"/>
      <c r="T84"/>
      <c r="U84"/>
    </row>
    <row r="85" spans="1:21" s="8" customFormat="1" ht="15" x14ac:dyDescent="0.25">
      <c r="A85" s="264"/>
      <c r="B85"/>
      <c r="C85"/>
      <c r="D85"/>
      <c r="E85"/>
      <c r="F85"/>
      <c r="G85"/>
      <c r="H85"/>
      <c r="I85"/>
      <c r="J85"/>
      <c r="K85"/>
      <c r="L85"/>
      <c r="M85"/>
      <c r="N85" s="91"/>
      <c r="O85" s="91"/>
      <c r="P85" s="91"/>
      <c r="Q85" s="91"/>
      <c r="R85" s="91"/>
      <c r="S85" s="91"/>
      <c r="T85" s="91"/>
      <c r="U85" s="91"/>
    </row>
    <row r="86" spans="1:21" s="8" customFormat="1" ht="15.6" x14ac:dyDescent="0.3">
      <c r="A86" s="264"/>
      <c r="B86" s="109" t="s">
        <v>282</v>
      </c>
      <c r="C86" s="72"/>
      <c r="D86" s="72"/>
      <c r="E86" s="72"/>
      <c r="F86" s="957" t="s">
        <v>159</v>
      </c>
      <c r="G86" s="957"/>
      <c r="H86" s="958" t="s">
        <v>158</v>
      </c>
      <c r="I86" s="958"/>
      <c r="J86" s="957" t="s">
        <v>273</v>
      </c>
      <c r="K86" s="957"/>
      <c r="L86" s="79"/>
      <c r="M86" s="79"/>
    </row>
    <row r="87" spans="1:21" x14ac:dyDescent="0.25">
      <c r="B87" s="72"/>
      <c r="C87" s="72"/>
      <c r="D87" s="72"/>
      <c r="E87" s="72"/>
      <c r="F87" s="74"/>
      <c r="G87" s="74"/>
      <c r="H87" s="73"/>
      <c r="I87" s="73"/>
      <c r="J87" s="73"/>
      <c r="K87" s="79"/>
      <c r="L87" s="79"/>
      <c r="M87" s="79"/>
      <c r="N87" s="8"/>
      <c r="O87" s="8"/>
      <c r="P87" s="8"/>
      <c r="Q87" s="8"/>
      <c r="R87" s="8"/>
      <c r="S87" s="8"/>
      <c r="T87" s="8"/>
      <c r="U87" s="8"/>
    </row>
    <row r="88" spans="1:21" ht="15.6" x14ac:dyDescent="0.3">
      <c r="B88" s="109"/>
      <c r="C88" s="72"/>
      <c r="D88" s="462" t="s">
        <v>364</v>
      </c>
      <c r="E88" s="72"/>
      <c r="F88" s="836"/>
      <c r="G88" s="836"/>
      <c r="H88" s="837"/>
      <c r="I88" s="837"/>
      <c r="J88" s="836"/>
      <c r="K88" s="836"/>
      <c r="L88" s="79"/>
      <c r="M88" s="79"/>
    </row>
    <row r="89" spans="1:21" ht="13.8" thickBot="1" x14ac:dyDescent="0.3">
      <c r="B89" s="214" t="s">
        <v>357</v>
      </c>
      <c r="C89" s="72"/>
      <c r="D89" s="72"/>
      <c r="E89" s="72"/>
      <c r="F89" s="74"/>
      <c r="G89" s="74"/>
      <c r="H89" s="73"/>
      <c r="I89" s="73"/>
      <c r="J89" s="79"/>
      <c r="K89" s="79"/>
      <c r="L89" s="79"/>
      <c r="M89" s="79"/>
    </row>
    <row r="90" spans="1:21" ht="13.8" thickBot="1" x14ac:dyDescent="0.3">
      <c r="B90" s="72"/>
      <c r="C90" s="72" t="s">
        <v>69</v>
      </c>
      <c r="D90" s="79"/>
      <c r="E90" s="72"/>
      <c r="F90" s="119">
        <v>2</v>
      </c>
      <c r="G90" s="74" t="s">
        <v>20</v>
      </c>
      <c r="H90" s="99">
        <v>18.8</v>
      </c>
      <c r="I90" s="73" t="s">
        <v>5</v>
      </c>
      <c r="J90" s="79">
        <f>F90*H90</f>
        <v>37.6</v>
      </c>
      <c r="K90" s="72" t="s">
        <v>14</v>
      </c>
      <c r="L90" s="79"/>
      <c r="M90" s="79"/>
    </row>
    <row r="91" spans="1:21" ht="13.8" thickBot="1" x14ac:dyDescent="0.3">
      <c r="B91" s="72"/>
      <c r="C91" s="72" t="s">
        <v>68</v>
      </c>
      <c r="D91" s="79"/>
      <c r="E91" s="72"/>
      <c r="F91" s="119">
        <v>0.1</v>
      </c>
      <c r="G91" s="74" t="s">
        <v>20</v>
      </c>
      <c r="H91" s="99">
        <v>39.200000000000003</v>
      </c>
      <c r="I91" s="73" t="s">
        <v>6</v>
      </c>
      <c r="J91" s="79">
        <f t="shared" ref="J91:J95" si="9">F91*H91</f>
        <v>3.9200000000000004</v>
      </c>
      <c r="K91" s="72" t="s">
        <v>14</v>
      </c>
      <c r="L91" s="79"/>
      <c r="M91" s="79"/>
    </row>
    <row r="92" spans="1:21" ht="13.8" thickBot="1" x14ac:dyDescent="0.3">
      <c r="B92" s="72"/>
      <c r="C92" s="72" t="s">
        <v>70</v>
      </c>
      <c r="D92" s="79"/>
      <c r="E92" s="72"/>
      <c r="F92" s="119">
        <v>0.3</v>
      </c>
      <c r="G92" s="74" t="s">
        <v>20</v>
      </c>
      <c r="H92" s="99">
        <v>48</v>
      </c>
      <c r="I92" s="73" t="s">
        <v>5</v>
      </c>
      <c r="J92" s="79">
        <f t="shared" si="9"/>
        <v>14.399999999999999</v>
      </c>
      <c r="K92" s="72" t="s">
        <v>14</v>
      </c>
      <c r="L92" s="79"/>
      <c r="M92" s="79"/>
    </row>
    <row r="93" spans="1:21" ht="13.8" thickBot="1" x14ac:dyDescent="0.3">
      <c r="B93" s="72"/>
      <c r="C93" s="72" t="s">
        <v>326</v>
      </c>
      <c r="D93" s="79"/>
      <c r="E93" s="72"/>
      <c r="F93" s="119"/>
      <c r="G93" s="74" t="s">
        <v>20</v>
      </c>
      <c r="H93" s="99"/>
      <c r="I93" s="73" t="s">
        <v>5</v>
      </c>
      <c r="J93" s="79">
        <f t="shared" si="9"/>
        <v>0</v>
      </c>
      <c r="K93" s="72" t="s">
        <v>14</v>
      </c>
      <c r="L93" s="79"/>
      <c r="M93" s="79"/>
    </row>
    <row r="94" spans="1:21" ht="13.8" thickBot="1" x14ac:dyDescent="0.3">
      <c r="B94" s="72"/>
      <c r="C94" s="72" t="s">
        <v>326</v>
      </c>
      <c r="D94" s="72"/>
      <c r="E94" s="72"/>
      <c r="F94" s="119"/>
      <c r="G94" s="74" t="s">
        <v>20</v>
      </c>
      <c r="H94" s="99"/>
      <c r="I94" s="73" t="s">
        <v>5</v>
      </c>
      <c r="J94" s="79">
        <f t="shared" si="9"/>
        <v>0</v>
      </c>
      <c r="K94" s="72" t="s">
        <v>14</v>
      </c>
      <c r="L94" s="79"/>
      <c r="M94" s="79"/>
    </row>
    <row r="95" spans="1:21" ht="13.8" thickBot="1" x14ac:dyDescent="0.3">
      <c r="B95" s="72"/>
      <c r="C95" s="72" t="s">
        <v>326</v>
      </c>
      <c r="D95" s="72"/>
      <c r="E95" s="72"/>
      <c r="F95" s="119"/>
      <c r="G95" s="74" t="s">
        <v>20</v>
      </c>
      <c r="H95" s="99"/>
      <c r="I95" s="73" t="s">
        <v>5</v>
      </c>
      <c r="J95" s="79">
        <f t="shared" si="9"/>
        <v>0</v>
      </c>
      <c r="K95" s="72" t="s">
        <v>14</v>
      </c>
      <c r="L95" s="79"/>
      <c r="M95" s="79"/>
    </row>
    <row r="96" spans="1:21" x14ac:dyDescent="0.25">
      <c r="B96" s="72"/>
      <c r="C96" s="72"/>
      <c r="D96" s="72"/>
      <c r="E96" s="72"/>
      <c r="F96" s="212"/>
      <c r="G96" s="74"/>
      <c r="H96" s="213"/>
      <c r="I96" s="73"/>
      <c r="J96" s="79"/>
      <c r="K96" s="72"/>
      <c r="L96" s="79"/>
      <c r="M96" s="79"/>
    </row>
    <row r="97" spans="1:15" ht="13.8" thickBot="1" x14ac:dyDescent="0.3">
      <c r="B97" s="214" t="s">
        <v>358</v>
      </c>
      <c r="C97" s="72"/>
      <c r="D97" s="72"/>
      <c r="E97" s="72"/>
      <c r="F97" s="212"/>
      <c r="G97" s="74"/>
      <c r="H97" s="213"/>
      <c r="I97" s="73"/>
      <c r="J97" s="79"/>
      <c r="K97" s="72"/>
      <c r="L97" s="79"/>
      <c r="M97" s="79"/>
    </row>
    <row r="98" spans="1:15" ht="13.8" thickBot="1" x14ac:dyDescent="0.3">
      <c r="B98" s="72"/>
      <c r="C98" s="72" t="s">
        <v>326</v>
      </c>
      <c r="D98" s="72"/>
      <c r="E98" s="72"/>
      <c r="F98" s="119"/>
      <c r="G98" s="74" t="s">
        <v>20</v>
      </c>
      <c r="H98" s="119"/>
      <c r="I98" s="73" t="s">
        <v>5</v>
      </c>
      <c r="J98" s="79">
        <f t="shared" ref="J98:J101" si="10">F98*H98</f>
        <v>0</v>
      </c>
      <c r="K98" s="72" t="s">
        <v>14</v>
      </c>
      <c r="L98" s="79"/>
      <c r="M98" s="79"/>
    </row>
    <row r="99" spans="1:15" ht="13.8" thickBot="1" x14ac:dyDescent="0.3">
      <c r="B99" s="72"/>
      <c r="C99" s="72" t="s">
        <v>326</v>
      </c>
      <c r="D99" s="72"/>
      <c r="E99" s="72"/>
      <c r="F99" s="119"/>
      <c r="G99" s="74" t="s">
        <v>20</v>
      </c>
      <c r="H99" s="119"/>
      <c r="I99" s="73" t="s">
        <v>5</v>
      </c>
      <c r="J99" s="79">
        <f t="shared" si="10"/>
        <v>0</v>
      </c>
      <c r="K99" s="72" t="s">
        <v>14</v>
      </c>
      <c r="L99" s="79"/>
      <c r="M99" s="79"/>
    </row>
    <row r="100" spans="1:15" ht="13.8" thickBot="1" x14ac:dyDescent="0.3">
      <c r="B100" s="72"/>
      <c r="C100" s="72" t="s">
        <v>326</v>
      </c>
      <c r="D100" s="72"/>
      <c r="E100" s="72"/>
      <c r="F100" s="119"/>
      <c r="G100" s="74" t="s">
        <v>20</v>
      </c>
      <c r="H100" s="119"/>
      <c r="I100" s="73" t="s">
        <v>5</v>
      </c>
      <c r="J100" s="79">
        <f t="shared" si="10"/>
        <v>0</v>
      </c>
      <c r="K100" s="72" t="s">
        <v>14</v>
      </c>
      <c r="L100" s="79"/>
      <c r="M100" s="79"/>
    </row>
    <row r="101" spans="1:15" ht="13.8" thickBot="1" x14ac:dyDescent="0.3">
      <c r="B101" s="72"/>
      <c r="C101" s="72" t="s">
        <v>326</v>
      </c>
      <c r="D101" s="72"/>
      <c r="E101" s="72"/>
      <c r="F101" s="119"/>
      <c r="G101" s="74" t="s">
        <v>20</v>
      </c>
      <c r="H101" s="119"/>
      <c r="I101" s="73" t="s">
        <v>5</v>
      </c>
      <c r="J101" s="79">
        <f t="shared" si="10"/>
        <v>0</v>
      </c>
      <c r="K101" s="72" t="s">
        <v>14</v>
      </c>
      <c r="L101" s="79"/>
      <c r="M101" s="79"/>
    </row>
    <row r="102" spans="1:15" s="8" customFormat="1" x14ac:dyDescent="0.25">
      <c r="A102" s="264"/>
      <c r="B102" s="241"/>
      <c r="C102" s="241" t="s">
        <v>196</v>
      </c>
      <c r="D102" s="241"/>
      <c r="E102" s="241"/>
      <c r="F102" s="273"/>
      <c r="G102" s="242"/>
      <c r="H102" s="273"/>
      <c r="I102" s="243"/>
      <c r="J102" s="243">
        <f>SUM(J90:J101)</f>
        <v>55.92</v>
      </c>
      <c r="K102" s="241" t="s">
        <v>14</v>
      </c>
      <c r="L102" s="241"/>
      <c r="M102" s="241"/>
    </row>
    <row r="103" spans="1:15" x14ac:dyDescent="0.25">
      <c r="B103" s="72"/>
      <c r="C103" s="72"/>
      <c r="D103" s="72"/>
      <c r="E103" s="72"/>
      <c r="F103" s="74"/>
      <c r="G103" s="74"/>
      <c r="H103" s="73"/>
      <c r="I103" s="73"/>
      <c r="J103" s="79"/>
      <c r="K103" s="72"/>
      <c r="L103" s="79"/>
      <c r="M103" s="79"/>
    </row>
    <row r="104" spans="1:15" x14ac:dyDescent="0.25">
      <c r="A104" s="788"/>
      <c r="N104" s="5"/>
      <c r="O104" s="5"/>
    </row>
    <row r="105" spans="1:15" ht="15.6" x14ac:dyDescent="0.3">
      <c r="A105" s="788"/>
      <c r="B105" s="110" t="s">
        <v>285</v>
      </c>
      <c r="C105" s="82"/>
      <c r="D105" s="82"/>
      <c r="E105" s="82"/>
      <c r="F105" s="965" t="s">
        <v>159</v>
      </c>
      <c r="G105" s="965"/>
      <c r="H105" s="965" t="s">
        <v>158</v>
      </c>
      <c r="I105" s="965"/>
      <c r="J105" s="965" t="s">
        <v>273</v>
      </c>
      <c r="K105" s="965"/>
      <c r="L105" s="84"/>
      <c r="M105" s="84"/>
      <c r="N105" s="5"/>
      <c r="O105" s="5"/>
    </row>
    <row r="106" spans="1:15" ht="13.8" thickBot="1" x14ac:dyDescent="0.3">
      <c r="A106" s="788"/>
      <c r="B106" s="82"/>
      <c r="C106" s="82"/>
      <c r="D106" s="82"/>
      <c r="E106" s="82"/>
      <c r="F106" s="82"/>
      <c r="G106" s="82"/>
      <c r="H106" s="83"/>
      <c r="I106" s="83"/>
      <c r="J106" s="84"/>
      <c r="K106" s="84"/>
      <c r="L106" s="84"/>
      <c r="M106" s="84"/>
      <c r="N106" s="5"/>
      <c r="O106" s="5"/>
    </row>
    <row r="107" spans="1:15" ht="13.8" thickBot="1" x14ac:dyDescent="0.3">
      <c r="A107" s="788"/>
      <c r="B107" s="82"/>
      <c r="C107" s="82" t="s">
        <v>286</v>
      </c>
      <c r="D107" s="84"/>
      <c r="E107" s="82"/>
      <c r="F107" s="463">
        <f>S10*'Gårdens info'!$G$16/1</f>
        <v>0</v>
      </c>
      <c r="G107" s="82" t="s">
        <v>153</v>
      </c>
      <c r="H107" s="99">
        <v>0.01</v>
      </c>
      <c r="I107" s="83" t="s">
        <v>152</v>
      </c>
      <c r="J107" s="85">
        <f>F107*H107</f>
        <v>0</v>
      </c>
      <c r="K107" s="82" t="s">
        <v>14</v>
      </c>
      <c r="L107" s="84"/>
      <c r="M107" s="84"/>
      <c r="N107" s="5"/>
      <c r="O107" s="5"/>
    </row>
    <row r="108" spans="1:15" ht="13.8" thickBot="1" x14ac:dyDescent="0.3">
      <c r="A108" s="788"/>
      <c r="B108" s="82"/>
      <c r="C108" s="82" t="s">
        <v>287</v>
      </c>
      <c r="D108" s="84"/>
      <c r="E108" s="82"/>
      <c r="F108" s="463">
        <f>S11*'Gårdens info'!$G$16/1</f>
        <v>0</v>
      </c>
      <c r="G108" s="82" t="s">
        <v>153</v>
      </c>
      <c r="H108" s="99">
        <v>0.01</v>
      </c>
      <c r="I108" s="83" t="s">
        <v>152</v>
      </c>
      <c r="J108" s="85">
        <f t="shared" ref="J108:J114" si="11">F108*H108</f>
        <v>0</v>
      </c>
      <c r="K108" s="82" t="s">
        <v>14</v>
      </c>
      <c r="L108" s="84"/>
      <c r="M108" s="84"/>
      <c r="N108" s="5"/>
      <c r="O108" s="5"/>
    </row>
    <row r="109" spans="1:15" ht="13.8" thickBot="1" x14ac:dyDescent="0.3">
      <c r="A109" s="788"/>
      <c r="B109" s="82"/>
      <c r="C109" s="82" t="s">
        <v>288</v>
      </c>
      <c r="D109" s="84"/>
      <c r="E109" s="82"/>
      <c r="F109" s="463">
        <f>S12*'Gårdens info'!$G$16/1</f>
        <v>0</v>
      </c>
      <c r="G109" s="82" t="s">
        <v>370</v>
      </c>
      <c r="H109" s="99">
        <v>0.01</v>
      </c>
      <c r="I109" s="83" t="s">
        <v>152</v>
      </c>
      <c r="J109" s="85">
        <f t="shared" si="11"/>
        <v>0</v>
      </c>
      <c r="K109" s="82" t="s">
        <v>14</v>
      </c>
      <c r="L109" s="84"/>
      <c r="M109" s="84"/>
      <c r="N109" s="5"/>
      <c r="O109" s="5"/>
    </row>
    <row r="110" spans="1:15" ht="13.8" thickBot="1" x14ac:dyDescent="0.3">
      <c r="A110" s="788"/>
      <c r="B110" s="82"/>
      <c r="C110" s="82" t="s">
        <v>289</v>
      </c>
      <c r="D110" s="84"/>
      <c r="E110" s="82"/>
      <c r="F110" s="463">
        <f>S13*'Gårdens info'!$G$16/1</f>
        <v>0</v>
      </c>
      <c r="G110" s="82" t="s">
        <v>153</v>
      </c>
      <c r="H110" s="99">
        <v>0.05</v>
      </c>
      <c r="I110" s="83" t="s">
        <v>152</v>
      </c>
      <c r="J110" s="85">
        <f t="shared" si="11"/>
        <v>0</v>
      </c>
      <c r="K110" s="82" t="s">
        <v>14</v>
      </c>
      <c r="L110" s="84"/>
      <c r="M110" s="84"/>
      <c r="N110" s="5"/>
      <c r="O110" s="5"/>
    </row>
    <row r="111" spans="1:15" ht="13.8" thickBot="1" x14ac:dyDescent="0.3">
      <c r="A111" s="788"/>
      <c r="B111" s="82"/>
      <c r="C111" s="119" t="s">
        <v>290</v>
      </c>
      <c r="D111" s="99"/>
      <c r="E111" s="82" t="s">
        <v>21</v>
      </c>
      <c r="F111" s="463">
        <f>IF(S14&gt;0,S14*'Gårdens info'!$G$16/D111,0)</f>
        <v>0</v>
      </c>
      <c r="G111" s="82" t="s">
        <v>153</v>
      </c>
      <c r="H111" s="99"/>
      <c r="I111" s="83" t="s">
        <v>152</v>
      </c>
      <c r="J111" s="85">
        <f t="shared" si="11"/>
        <v>0</v>
      </c>
      <c r="K111" s="82" t="s">
        <v>14</v>
      </c>
      <c r="L111" s="84"/>
      <c r="M111" s="84"/>
      <c r="N111" s="5"/>
      <c r="O111" s="5"/>
    </row>
    <row r="112" spans="1:15" ht="13.8" thickBot="1" x14ac:dyDescent="0.3">
      <c r="A112" s="788"/>
      <c r="B112" s="82"/>
      <c r="C112" s="119" t="s">
        <v>290</v>
      </c>
      <c r="D112" s="99"/>
      <c r="E112" s="82" t="s">
        <v>21</v>
      </c>
      <c r="F112" s="463">
        <f>IF(S15&gt;0,S15*'Gårdens info'!$G$16/D112,0)</f>
        <v>0</v>
      </c>
      <c r="G112" s="82" t="s">
        <v>153</v>
      </c>
      <c r="H112" s="99"/>
      <c r="I112" s="83" t="s">
        <v>152</v>
      </c>
      <c r="J112" s="85">
        <f t="shared" ref="J112:J113" si="12">F112*H112</f>
        <v>0</v>
      </c>
      <c r="K112" s="82" t="s">
        <v>14</v>
      </c>
      <c r="L112" s="84"/>
      <c r="M112" s="84"/>
      <c r="N112" s="5"/>
      <c r="O112" s="5"/>
    </row>
    <row r="113" spans="1:21" ht="13.8" thickBot="1" x14ac:dyDescent="0.3">
      <c r="A113" s="788"/>
      <c r="B113" s="82"/>
      <c r="C113" s="119" t="s">
        <v>290</v>
      </c>
      <c r="D113" s="99"/>
      <c r="E113" s="82" t="s">
        <v>21</v>
      </c>
      <c r="F113" s="463">
        <f>IF(S16&gt;0,S16*'Gårdens info'!$G$16/D113,0)</f>
        <v>0</v>
      </c>
      <c r="G113" s="82" t="s">
        <v>153</v>
      </c>
      <c r="H113" s="99"/>
      <c r="I113" s="83" t="s">
        <v>152</v>
      </c>
      <c r="J113" s="85">
        <f t="shared" si="12"/>
        <v>0</v>
      </c>
      <c r="K113" s="82" t="s">
        <v>14</v>
      </c>
      <c r="L113" s="84"/>
      <c r="M113" s="84"/>
      <c r="N113" s="5"/>
      <c r="O113" s="5"/>
    </row>
    <row r="114" spans="1:21" ht="13.8" thickBot="1" x14ac:dyDescent="0.3">
      <c r="A114" s="788"/>
      <c r="B114" s="82"/>
      <c r="C114" s="119" t="s">
        <v>290</v>
      </c>
      <c r="D114" s="99"/>
      <c r="E114" s="82" t="s">
        <v>21</v>
      </c>
      <c r="F114" s="463">
        <f>IF(S17&gt;0,S17*'Gårdens info'!$G$16/D114,0)</f>
        <v>0</v>
      </c>
      <c r="G114" s="82" t="s">
        <v>153</v>
      </c>
      <c r="H114" s="99"/>
      <c r="I114" s="83" t="s">
        <v>152</v>
      </c>
      <c r="J114" s="85">
        <f t="shared" si="11"/>
        <v>0</v>
      </c>
      <c r="K114" s="82" t="s">
        <v>14</v>
      </c>
      <c r="L114" s="84"/>
      <c r="M114" s="84"/>
      <c r="N114" s="5"/>
      <c r="O114" s="5"/>
    </row>
    <row r="115" spans="1:21" x14ac:dyDescent="0.25">
      <c r="A115" s="788"/>
      <c r="B115" s="245"/>
      <c r="C115" s="245" t="s">
        <v>196</v>
      </c>
      <c r="D115" s="245"/>
      <c r="E115" s="245"/>
      <c r="F115" s="246"/>
      <c r="G115" s="82" t="s">
        <v>153</v>
      </c>
      <c r="H115" s="247"/>
      <c r="I115" s="248"/>
      <c r="J115" s="249">
        <f>SUM(J107:J114)</f>
        <v>0</v>
      </c>
      <c r="K115" s="245" t="s">
        <v>14</v>
      </c>
      <c r="L115" s="245"/>
      <c r="M115" s="245"/>
      <c r="N115" s="5"/>
      <c r="O115" s="5"/>
    </row>
    <row r="116" spans="1:21" x14ac:dyDescent="0.25">
      <c r="A116" s="788"/>
      <c r="B116" s="82"/>
      <c r="C116" s="82"/>
      <c r="D116" s="82"/>
      <c r="E116" s="82"/>
      <c r="F116" s="82"/>
      <c r="G116" s="82"/>
      <c r="H116" s="83"/>
      <c r="I116" s="83"/>
      <c r="J116" s="85"/>
      <c r="K116" s="82"/>
      <c r="L116" s="84"/>
      <c r="M116" s="84"/>
      <c r="N116" s="5"/>
      <c r="O116" s="5"/>
    </row>
    <row r="117" spans="1:21" x14ac:dyDescent="0.25">
      <c r="A117" s="788"/>
      <c r="N117" s="5"/>
      <c r="O117" s="5"/>
    </row>
    <row r="118" spans="1:21" s="8" customFormat="1" ht="15.6" x14ac:dyDescent="0.3">
      <c r="A118" s="789"/>
      <c r="B118" s="111" t="s">
        <v>291</v>
      </c>
      <c r="C118" s="87"/>
      <c r="D118" s="87"/>
      <c r="E118" s="87"/>
      <c r="F118" s="966" t="s">
        <v>159</v>
      </c>
      <c r="G118" s="966"/>
      <c r="H118" s="966" t="s">
        <v>158</v>
      </c>
      <c r="I118" s="966"/>
      <c r="J118" s="966" t="s">
        <v>273</v>
      </c>
      <c r="K118" s="966"/>
      <c r="L118" s="89"/>
      <c r="M118" s="89"/>
      <c r="N118" s="5"/>
      <c r="O118" s="5"/>
      <c r="P118"/>
      <c r="Q118"/>
      <c r="R118"/>
      <c r="S118"/>
      <c r="T118"/>
      <c r="U118"/>
    </row>
    <row r="119" spans="1:21" ht="13.8" thickBot="1" x14ac:dyDescent="0.3">
      <c r="A119" s="788"/>
      <c r="B119" s="87"/>
      <c r="C119" s="87"/>
      <c r="D119" s="87"/>
      <c r="E119" s="87"/>
      <c r="F119" s="87"/>
      <c r="G119" s="87"/>
      <c r="H119" s="88"/>
      <c r="I119" s="88"/>
      <c r="J119" s="89"/>
      <c r="K119" s="89"/>
      <c r="L119" s="89"/>
      <c r="M119" s="89"/>
      <c r="N119" s="5"/>
      <c r="O119" s="5"/>
    </row>
    <row r="120" spans="1:21" ht="13.8" thickBot="1" x14ac:dyDescent="0.3">
      <c r="A120" s="788"/>
      <c r="B120" s="87"/>
      <c r="C120" s="87" t="s">
        <v>247</v>
      </c>
      <c r="D120" s="89"/>
      <c r="E120" s="87"/>
      <c r="F120" s="96">
        <f>'Gårdens info'!G16*'Gårdens info'!D16*0.9</f>
        <v>0</v>
      </c>
      <c r="G120" s="87" t="s">
        <v>21</v>
      </c>
      <c r="H120" s="99">
        <v>0.02</v>
      </c>
      <c r="I120" s="88" t="s">
        <v>6</v>
      </c>
      <c r="J120" s="90">
        <f t="shared" ref="J120:J122" si="13">F120*H120</f>
        <v>0</v>
      </c>
      <c r="K120" s="87" t="s">
        <v>14</v>
      </c>
      <c r="L120" s="89"/>
      <c r="M120" s="89"/>
      <c r="N120" s="9"/>
      <c r="O120" s="9"/>
      <c r="P120" s="8"/>
      <c r="Q120" s="8"/>
      <c r="R120" s="8"/>
      <c r="S120" s="8"/>
      <c r="T120" s="8"/>
      <c r="U120" s="8"/>
    </row>
    <row r="121" spans="1:21" ht="13.8" thickBot="1" x14ac:dyDescent="0.3">
      <c r="A121" s="788"/>
      <c r="B121" s="87"/>
      <c r="C121" s="87" t="s">
        <v>292</v>
      </c>
      <c r="D121" s="87"/>
      <c r="E121" s="87"/>
      <c r="F121" s="96"/>
      <c r="G121" s="87" t="s">
        <v>21</v>
      </c>
      <c r="H121" s="99"/>
      <c r="I121" s="88" t="s">
        <v>6</v>
      </c>
      <c r="J121" s="90">
        <f t="shared" si="13"/>
        <v>0</v>
      </c>
      <c r="K121" s="87" t="s">
        <v>14</v>
      </c>
      <c r="L121" s="89"/>
      <c r="M121" s="89"/>
      <c r="N121" s="5"/>
      <c r="O121" s="5"/>
    </row>
    <row r="122" spans="1:21" ht="13.8" thickBot="1" x14ac:dyDescent="0.3">
      <c r="A122" s="788"/>
      <c r="B122" s="87"/>
      <c r="C122" s="87" t="s">
        <v>292</v>
      </c>
      <c r="D122" s="87"/>
      <c r="E122" s="87"/>
      <c r="F122" s="96"/>
      <c r="G122" s="87" t="s">
        <v>21</v>
      </c>
      <c r="H122" s="99"/>
      <c r="I122" s="88" t="s">
        <v>6</v>
      </c>
      <c r="J122" s="90">
        <f t="shared" si="13"/>
        <v>0</v>
      </c>
      <c r="K122" s="87" t="s">
        <v>14</v>
      </c>
      <c r="L122" s="89"/>
      <c r="M122" s="89"/>
      <c r="N122" s="5"/>
      <c r="O122" s="5"/>
    </row>
    <row r="123" spans="1:21" x14ac:dyDescent="0.25">
      <c r="A123" s="788"/>
      <c r="B123" s="250"/>
      <c r="C123" s="250" t="s">
        <v>196</v>
      </c>
      <c r="D123" s="250"/>
      <c r="E123" s="250"/>
      <c r="F123" s="251"/>
      <c r="G123" s="250"/>
      <c r="H123" s="252"/>
      <c r="I123" s="253"/>
      <c r="J123" s="254">
        <f>SUM(J120:J122)</f>
        <v>0</v>
      </c>
      <c r="K123" s="250" t="s">
        <v>14</v>
      </c>
      <c r="L123" s="250"/>
      <c r="M123" s="250"/>
      <c r="N123" s="5"/>
      <c r="O123" s="5"/>
    </row>
    <row r="124" spans="1:21" x14ac:dyDescent="0.25">
      <c r="A124" s="788"/>
      <c r="B124" s="87"/>
      <c r="C124" s="87"/>
      <c r="D124" s="87"/>
      <c r="E124" s="87"/>
      <c r="F124" s="87"/>
      <c r="G124" s="87"/>
      <c r="H124" s="88"/>
      <c r="I124" s="88"/>
      <c r="J124" s="90"/>
      <c r="K124" s="87"/>
      <c r="L124" s="89"/>
      <c r="M124" s="89"/>
      <c r="N124" s="5"/>
    </row>
    <row r="125" spans="1:21" x14ac:dyDescent="0.25">
      <c r="A125" s="788"/>
      <c r="N125" s="5"/>
    </row>
    <row r="126" spans="1:21" ht="15.6" x14ac:dyDescent="0.3">
      <c r="A126" s="788"/>
      <c r="B126" s="219" t="s">
        <v>293</v>
      </c>
      <c r="C126" s="220"/>
      <c r="D126" s="220"/>
      <c r="E126" s="220"/>
      <c r="F126" s="964" t="s">
        <v>159</v>
      </c>
      <c r="G126" s="964"/>
      <c r="H126" s="964" t="s">
        <v>158</v>
      </c>
      <c r="I126" s="964"/>
      <c r="J126" s="964" t="s">
        <v>273</v>
      </c>
      <c r="K126" s="964"/>
      <c r="L126" s="222"/>
      <c r="M126" s="222"/>
      <c r="N126" s="5"/>
    </row>
    <row r="127" spans="1:21" ht="13.8" thickBot="1" x14ac:dyDescent="0.3">
      <c r="A127" s="788"/>
      <c r="B127" s="220"/>
      <c r="C127" s="220"/>
      <c r="D127" s="220"/>
      <c r="E127" s="220"/>
      <c r="F127" s="220"/>
      <c r="G127" s="220"/>
      <c r="H127" s="221"/>
      <c r="I127" s="221"/>
      <c r="J127" s="222"/>
      <c r="K127" s="222"/>
      <c r="L127" s="222"/>
      <c r="M127" s="222"/>
      <c r="N127" s="5"/>
    </row>
    <row r="128" spans="1:21" ht="13.8" thickBot="1" x14ac:dyDescent="0.3">
      <c r="A128" s="788"/>
      <c r="B128" s="220"/>
      <c r="C128" s="220" t="s">
        <v>294</v>
      </c>
      <c r="D128" s="222"/>
      <c r="E128" s="220"/>
      <c r="F128" s="96"/>
      <c r="G128" s="220" t="s">
        <v>0</v>
      </c>
      <c r="H128" s="99"/>
      <c r="I128" s="221" t="s">
        <v>14</v>
      </c>
      <c r="J128" s="223">
        <f t="shared" ref="J128:J130" si="14">F128*H128</f>
        <v>0</v>
      </c>
      <c r="K128" s="220" t="s">
        <v>14</v>
      </c>
      <c r="L128" s="222"/>
      <c r="M128" s="222"/>
      <c r="N128" s="5"/>
    </row>
    <row r="129" spans="1:21" ht="13.8" thickBot="1" x14ac:dyDescent="0.3">
      <c r="B129" s="220"/>
      <c r="C129" s="220" t="s">
        <v>294</v>
      </c>
      <c r="D129" s="220"/>
      <c r="E129" s="220"/>
      <c r="F129" s="96"/>
      <c r="G129" s="220" t="s">
        <v>0</v>
      </c>
      <c r="H129" s="99"/>
      <c r="I129" s="221" t="s">
        <v>14</v>
      </c>
      <c r="J129" s="223">
        <f t="shared" si="14"/>
        <v>0</v>
      </c>
      <c r="K129" s="220" t="s">
        <v>14</v>
      </c>
      <c r="L129" s="222"/>
      <c r="M129" s="222"/>
    </row>
    <row r="130" spans="1:21" ht="13.8" thickBot="1" x14ac:dyDescent="0.3">
      <c r="B130" s="220"/>
      <c r="C130" s="220" t="s">
        <v>294</v>
      </c>
      <c r="D130" s="220"/>
      <c r="E130" s="220"/>
      <c r="F130" s="96"/>
      <c r="G130" s="220" t="s">
        <v>0</v>
      </c>
      <c r="H130" s="99"/>
      <c r="I130" s="221" t="s">
        <v>14</v>
      </c>
      <c r="J130" s="223">
        <f t="shared" si="14"/>
        <v>0</v>
      </c>
      <c r="K130" s="220" t="s">
        <v>14</v>
      </c>
      <c r="L130" s="222"/>
      <c r="M130" s="222"/>
    </row>
    <row r="131" spans="1:21" s="8" customFormat="1" x14ac:dyDescent="0.25">
      <c r="A131" s="264"/>
      <c r="B131" s="255"/>
      <c r="C131" s="255" t="s">
        <v>196</v>
      </c>
      <c r="D131" s="255"/>
      <c r="E131" s="255"/>
      <c r="F131" s="256"/>
      <c r="G131" s="255"/>
      <c r="H131" s="257"/>
      <c r="I131" s="258"/>
      <c r="J131" s="259">
        <f>SUM(J128:J130)</f>
        <v>0</v>
      </c>
      <c r="K131" s="255" t="s">
        <v>14</v>
      </c>
      <c r="L131" s="255"/>
      <c r="M131" s="255"/>
      <c r="N131"/>
      <c r="O131"/>
      <c r="P131"/>
      <c r="Q131"/>
      <c r="R131"/>
      <c r="S131"/>
      <c r="T131"/>
      <c r="U131"/>
    </row>
    <row r="132" spans="1:21" x14ac:dyDescent="0.25">
      <c r="B132" s="220"/>
      <c r="C132" s="220"/>
      <c r="D132" s="220"/>
      <c r="E132" s="220"/>
      <c r="F132" s="220"/>
      <c r="G132" s="220"/>
      <c r="H132" s="221"/>
      <c r="I132" s="221"/>
      <c r="J132" s="223"/>
      <c r="K132" s="220"/>
      <c r="L132" s="222"/>
      <c r="M132" s="222"/>
    </row>
    <row r="133" spans="1:21" ht="30" customHeight="1" x14ac:dyDescent="0.25">
      <c r="N133" s="8"/>
      <c r="O133" s="8"/>
      <c r="P133" s="8"/>
      <c r="Q133" s="8"/>
      <c r="R133" s="8"/>
      <c r="S133" s="8"/>
      <c r="T133" s="8"/>
      <c r="U133" s="8"/>
    </row>
    <row r="134" spans="1:21" ht="15.6" x14ac:dyDescent="0.3">
      <c r="B134" s="225" t="s">
        <v>295</v>
      </c>
      <c r="C134" s="226"/>
      <c r="D134" s="226"/>
      <c r="E134" s="227"/>
      <c r="F134" s="226" t="s">
        <v>159</v>
      </c>
      <c r="G134" s="228"/>
      <c r="H134" s="228" t="s">
        <v>158</v>
      </c>
      <c r="I134" s="226"/>
      <c r="J134" s="226"/>
      <c r="K134" s="229"/>
      <c r="L134" s="229"/>
      <c r="M134" s="229"/>
    </row>
    <row r="135" spans="1:21" ht="16.2" thickBot="1" x14ac:dyDescent="0.35">
      <c r="B135" s="225"/>
      <c r="C135" s="226"/>
      <c r="D135" s="226"/>
      <c r="E135" s="227"/>
      <c r="F135" s="226"/>
      <c r="G135" s="228"/>
      <c r="H135" s="228"/>
      <c r="I135" s="226"/>
      <c r="J135" s="226"/>
      <c r="K135" s="229"/>
      <c r="L135" s="229"/>
      <c r="M135" s="229"/>
    </row>
    <row r="136" spans="1:21" ht="13.8" thickBot="1" x14ac:dyDescent="0.3">
      <c r="B136" s="226"/>
      <c r="C136" s="226" t="s">
        <v>296</v>
      </c>
      <c r="D136" s="229"/>
      <c r="E136" s="230"/>
      <c r="F136" s="96">
        <v>10500</v>
      </c>
      <c r="G136" s="231" t="s">
        <v>18</v>
      </c>
      <c r="H136" s="96">
        <v>0.15</v>
      </c>
      <c r="I136" s="232" t="s">
        <v>10</v>
      </c>
      <c r="J136" s="229">
        <f>H136*F136</f>
        <v>1575</v>
      </c>
      <c r="K136" s="232" t="s">
        <v>14</v>
      </c>
      <c r="L136" s="229"/>
      <c r="M136" s="229"/>
    </row>
    <row r="137" spans="1:21" ht="13.8" thickBot="1" x14ac:dyDescent="0.3">
      <c r="B137" s="226"/>
      <c r="C137" s="226" t="s">
        <v>297</v>
      </c>
      <c r="D137" s="232">
        <f>F169/2</f>
        <v>72</v>
      </c>
      <c r="E137" s="226" t="s">
        <v>9</v>
      </c>
      <c r="F137" s="96">
        <f>+D137*8</f>
        <v>576</v>
      </c>
      <c r="G137" s="228" t="s">
        <v>20</v>
      </c>
      <c r="H137" s="96">
        <v>0.83</v>
      </c>
      <c r="I137" s="232" t="s">
        <v>5</v>
      </c>
      <c r="J137" s="229">
        <f>H137*F137</f>
        <v>478.08</v>
      </c>
      <c r="K137" s="232" t="s">
        <v>14</v>
      </c>
      <c r="L137" s="229"/>
      <c r="M137" s="229"/>
    </row>
    <row r="138" spans="1:21" ht="13.8" thickBot="1" x14ac:dyDescent="0.3">
      <c r="B138" s="226"/>
      <c r="C138" s="226" t="s">
        <v>298</v>
      </c>
      <c r="D138" s="232">
        <f>D137</f>
        <v>72</v>
      </c>
      <c r="E138" s="226" t="s">
        <v>9</v>
      </c>
      <c r="F138" s="96">
        <v>11.88</v>
      </c>
      <c r="G138" s="228" t="s">
        <v>21</v>
      </c>
      <c r="H138" s="96">
        <v>4</v>
      </c>
      <c r="I138" s="232" t="s">
        <v>6</v>
      </c>
      <c r="J138" s="229">
        <f t="shared" ref="J138:J142" si="15">H138*F138</f>
        <v>47.52</v>
      </c>
      <c r="K138" s="232" t="s">
        <v>14</v>
      </c>
      <c r="L138" s="229"/>
      <c r="M138" s="229"/>
    </row>
    <row r="139" spans="1:21" ht="13.8" thickBot="1" x14ac:dyDescent="0.3">
      <c r="B139" s="226"/>
      <c r="C139" s="226" t="s">
        <v>19</v>
      </c>
      <c r="D139" s="229"/>
      <c r="E139" s="232"/>
      <c r="F139" s="96">
        <v>200</v>
      </c>
      <c r="G139" s="228" t="s">
        <v>20</v>
      </c>
      <c r="H139" s="96">
        <v>1.53</v>
      </c>
      <c r="I139" s="232" t="s">
        <v>5</v>
      </c>
      <c r="J139" s="229">
        <f t="shared" si="15"/>
        <v>306</v>
      </c>
      <c r="K139" s="232" t="s">
        <v>14</v>
      </c>
      <c r="L139" s="229"/>
      <c r="M139" s="229"/>
    </row>
    <row r="140" spans="1:21" ht="13.8" thickBot="1" x14ac:dyDescent="0.3">
      <c r="B140" s="226"/>
      <c r="C140" s="226" t="s">
        <v>299</v>
      </c>
      <c r="D140" s="229"/>
      <c r="E140" s="232"/>
      <c r="F140" s="96"/>
      <c r="G140" s="228" t="s">
        <v>20</v>
      </c>
      <c r="H140" s="96"/>
      <c r="I140" s="232" t="s">
        <v>5</v>
      </c>
      <c r="J140" s="229">
        <f t="shared" si="15"/>
        <v>0</v>
      </c>
      <c r="K140" s="232" t="s">
        <v>14</v>
      </c>
      <c r="L140" s="229"/>
      <c r="M140" s="229"/>
    </row>
    <row r="141" spans="1:21" ht="13.8" thickBot="1" x14ac:dyDescent="0.3">
      <c r="B141" s="226"/>
      <c r="C141" s="226" t="s">
        <v>300</v>
      </c>
      <c r="D141" s="229"/>
      <c r="E141" s="232"/>
      <c r="F141" s="96"/>
      <c r="G141" s="228"/>
      <c r="H141" s="96"/>
      <c r="I141" s="232"/>
      <c r="J141" s="229">
        <f t="shared" si="15"/>
        <v>0</v>
      </c>
      <c r="K141" s="232" t="s">
        <v>14</v>
      </c>
      <c r="L141" s="229"/>
      <c r="M141" s="229"/>
    </row>
    <row r="142" spans="1:21" ht="13.8" thickBot="1" x14ac:dyDescent="0.3">
      <c r="B142" s="229"/>
      <c r="C142" s="226" t="s">
        <v>300</v>
      </c>
      <c r="D142" s="229"/>
      <c r="E142" s="229"/>
      <c r="F142" s="96"/>
      <c r="G142" s="229"/>
      <c r="H142" s="96"/>
      <c r="I142" s="229"/>
      <c r="J142" s="229">
        <f t="shared" si="15"/>
        <v>0</v>
      </c>
      <c r="K142" s="232" t="s">
        <v>14</v>
      </c>
      <c r="L142" s="229"/>
      <c r="M142" s="229"/>
    </row>
    <row r="143" spans="1:21" s="8" customFormat="1" x14ac:dyDescent="0.25">
      <c r="A143" s="264"/>
      <c r="B143" s="260"/>
      <c r="C143" s="260" t="s">
        <v>196</v>
      </c>
      <c r="D143" s="260"/>
      <c r="E143" s="260"/>
      <c r="F143" s="261"/>
      <c r="G143" s="260"/>
      <c r="H143" s="261"/>
      <c r="I143" s="260"/>
      <c r="J143" s="260">
        <f>SUM(J136:J142)</f>
        <v>2406.6</v>
      </c>
      <c r="K143" s="262" t="s">
        <v>14</v>
      </c>
      <c r="L143" s="260"/>
      <c r="M143" s="260"/>
    </row>
    <row r="144" spans="1:21" x14ac:dyDescent="0.25">
      <c r="B144" s="229"/>
      <c r="C144" s="229"/>
      <c r="D144" s="229"/>
      <c r="E144" s="229"/>
      <c r="F144" s="229"/>
      <c r="G144" s="229"/>
      <c r="H144" s="229"/>
      <c r="I144" s="229"/>
      <c r="J144" s="229"/>
      <c r="K144" s="229"/>
      <c r="L144" s="229"/>
      <c r="M144" s="229"/>
    </row>
    <row r="146" spans="1:21" ht="15.6" x14ac:dyDescent="0.3">
      <c r="B146" s="112" t="s">
        <v>301</v>
      </c>
      <c r="C146" s="101"/>
      <c r="D146" s="101"/>
      <c r="E146" s="101"/>
      <c r="F146" s="101"/>
      <c r="G146" s="101"/>
      <c r="H146" s="101"/>
      <c r="I146" s="101"/>
      <c r="J146" s="101"/>
      <c r="K146" s="101"/>
      <c r="L146" s="101"/>
      <c r="M146" s="101"/>
    </row>
    <row r="147" spans="1:21" ht="15.6" x14ac:dyDescent="0.3">
      <c r="B147" s="112"/>
      <c r="C147" s="101"/>
      <c r="D147" s="101"/>
      <c r="E147" s="101"/>
      <c r="F147" s="101"/>
      <c r="G147" s="101"/>
      <c r="H147" s="101"/>
      <c r="I147" s="101"/>
      <c r="J147" s="101"/>
      <c r="K147" s="101"/>
      <c r="L147" s="101"/>
      <c r="M147" s="101"/>
    </row>
    <row r="148" spans="1:21" ht="15" customHeight="1" x14ac:dyDescent="0.25">
      <c r="B148" s="961" t="s">
        <v>302</v>
      </c>
      <c r="C148" s="961"/>
      <c r="D148" s="961"/>
      <c r="E148" s="961"/>
      <c r="F148" s="961"/>
      <c r="G148" s="961"/>
      <c r="H148" s="961"/>
      <c r="I148" s="961"/>
      <c r="J148" s="961"/>
      <c r="K148" s="961"/>
      <c r="L148" s="961"/>
      <c r="M148" s="961"/>
    </row>
    <row r="149" spans="1:21" s="8" customFormat="1" ht="15.6" x14ac:dyDescent="0.3">
      <c r="A149" s="264"/>
      <c r="B149" s="112"/>
      <c r="C149" s="101"/>
      <c r="D149" s="101"/>
      <c r="E149" s="834"/>
      <c r="F149" s="834"/>
      <c r="G149" s="834"/>
      <c r="H149" s="835"/>
      <c r="I149" s="835"/>
      <c r="J149" s="834"/>
      <c r="K149" s="834"/>
      <c r="L149" s="835"/>
      <c r="M149" s="835"/>
      <c r="N149"/>
      <c r="O149"/>
      <c r="P149"/>
      <c r="Q149"/>
      <c r="R149"/>
      <c r="S149"/>
      <c r="T149"/>
      <c r="U149"/>
    </row>
    <row r="150" spans="1:21" ht="15.6" x14ac:dyDescent="0.3">
      <c r="B150" s="112"/>
      <c r="C150" s="101"/>
      <c r="D150" s="101"/>
      <c r="E150" s="962" t="s">
        <v>303</v>
      </c>
      <c r="F150" s="962"/>
      <c r="G150" s="962"/>
      <c r="H150" s="963" t="s">
        <v>158</v>
      </c>
      <c r="I150" s="963"/>
      <c r="J150" s="963" t="s">
        <v>304</v>
      </c>
      <c r="K150" s="963"/>
      <c r="L150" s="963" t="s">
        <v>158</v>
      </c>
      <c r="M150" s="963"/>
    </row>
    <row r="151" spans="1:21" ht="33" customHeight="1" thickBot="1" x14ac:dyDescent="0.3">
      <c r="B151" s="100"/>
      <c r="C151" s="101"/>
      <c r="D151" s="101"/>
      <c r="E151" s="101"/>
      <c r="F151" s="101"/>
      <c r="G151" s="101"/>
      <c r="H151" s="101"/>
      <c r="I151" s="101"/>
      <c r="J151" s="101"/>
      <c r="K151" s="101"/>
      <c r="L151" s="101"/>
      <c r="M151" s="101"/>
      <c r="N151" s="8"/>
      <c r="O151" s="8"/>
      <c r="P151" s="8"/>
      <c r="Q151" s="8"/>
      <c r="R151" s="8"/>
      <c r="S151" s="8"/>
      <c r="T151" s="8"/>
      <c r="U151" s="8"/>
    </row>
    <row r="152" spans="1:21" ht="13.8" thickBot="1" x14ac:dyDescent="0.3">
      <c r="B152" s="101"/>
      <c r="C152" s="102" t="s">
        <v>322</v>
      </c>
      <c r="D152" s="101"/>
      <c r="E152" s="101"/>
      <c r="F152" s="115">
        <v>2</v>
      </c>
      <c r="G152" s="104" t="s">
        <v>22</v>
      </c>
      <c r="H152" s="117">
        <v>14.5</v>
      </c>
      <c r="I152" s="104" t="s">
        <v>11</v>
      </c>
      <c r="J152" s="116"/>
      <c r="K152" s="104" t="s">
        <v>22</v>
      </c>
      <c r="L152" s="117">
        <v>14.5</v>
      </c>
      <c r="M152" s="104" t="s">
        <v>11</v>
      </c>
    </row>
    <row r="153" spans="1:21" ht="13.8" thickBot="1" x14ac:dyDescent="0.3">
      <c r="B153" s="101"/>
      <c r="C153" s="102" t="s">
        <v>321</v>
      </c>
      <c r="D153" s="101"/>
      <c r="E153" s="101"/>
      <c r="F153" s="115">
        <v>3</v>
      </c>
      <c r="G153" s="104" t="s">
        <v>22</v>
      </c>
      <c r="H153" s="114">
        <f>$H$152</f>
        <v>14.5</v>
      </c>
      <c r="I153" s="104" t="s">
        <v>11</v>
      </c>
      <c r="J153" s="116"/>
      <c r="K153" s="104" t="s">
        <v>22</v>
      </c>
      <c r="L153" s="114">
        <f>$L$152</f>
        <v>14.5</v>
      </c>
      <c r="M153" s="104" t="s">
        <v>11</v>
      </c>
    </row>
    <row r="154" spans="1:21" ht="13.8" thickBot="1" x14ac:dyDescent="0.3">
      <c r="B154" s="101"/>
      <c r="C154" s="102" t="s">
        <v>308</v>
      </c>
      <c r="D154" s="101"/>
      <c r="E154" s="101"/>
      <c r="F154" s="115">
        <v>6</v>
      </c>
      <c r="G154" s="104" t="s">
        <v>22</v>
      </c>
      <c r="H154" s="114">
        <f t="shared" ref="H154:H168" si="16">$H$152</f>
        <v>14.5</v>
      </c>
      <c r="I154" s="104" t="s">
        <v>11</v>
      </c>
      <c r="J154" s="116"/>
      <c r="K154" s="104" t="s">
        <v>22</v>
      </c>
      <c r="L154" s="114">
        <f t="shared" ref="L154:L168" si="17">$L$152</f>
        <v>14.5</v>
      </c>
      <c r="M154" s="104" t="s">
        <v>11</v>
      </c>
    </row>
    <row r="155" spans="1:21" ht="13.8" thickBot="1" x14ac:dyDescent="0.3">
      <c r="B155" s="101"/>
      <c r="C155" s="102" t="s">
        <v>311</v>
      </c>
      <c r="D155" s="101"/>
      <c r="E155" s="101"/>
      <c r="F155" s="115">
        <v>5</v>
      </c>
      <c r="G155" s="104" t="s">
        <v>22</v>
      </c>
      <c r="H155" s="114">
        <f t="shared" si="16"/>
        <v>14.5</v>
      </c>
      <c r="I155" s="104" t="s">
        <v>11</v>
      </c>
      <c r="J155" s="116">
        <v>10</v>
      </c>
      <c r="K155" s="104" t="s">
        <v>22</v>
      </c>
      <c r="L155" s="114">
        <f t="shared" si="17"/>
        <v>14.5</v>
      </c>
      <c r="M155" s="104" t="s">
        <v>11</v>
      </c>
    </row>
    <row r="156" spans="1:21" ht="13.8" thickBot="1" x14ac:dyDescent="0.3">
      <c r="B156" s="101"/>
      <c r="C156" s="102" t="s">
        <v>312</v>
      </c>
      <c r="D156" s="101"/>
      <c r="E156" s="101"/>
      <c r="F156" s="115">
        <v>8</v>
      </c>
      <c r="G156" s="104" t="s">
        <v>22</v>
      </c>
      <c r="H156" s="114">
        <f t="shared" si="16"/>
        <v>14.5</v>
      </c>
      <c r="I156" s="104" t="s">
        <v>11</v>
      </c>
      <c r="J156" s="116"/>
      <c r="K156" s="104" t="s">
        <v>22</v>
      </c>
      <c r="L156" s="114">
        <f t="shared" si="17"/>
        <v>14.5</v>
      </c>
      <c r="M156" s="104" t="s">
        <v>11</v>
      </c>
    </row>
    <row r="157" spans="1:21" ht="13.8" thickBot="1" x14ac:dyDescent="0.3">
      <c r="B157" s="101"/>
      <c r="C157" s="102" t="s">
        <v>315</v>
      </c>
      <c r="D157" s="101"/>
      <c r="E157" s="101"/>
      <c r="F157" s="115">
        <v>4</v>
      </c>
      <c r="G157" s="104" t="s">
        <v>22</v>
      </c>
      <c r="H157" s="114">
        <f t="shared" si="16"/>
        <v>14.5</v>
      </c>
      <c r="I157" s="104" t="s">
        <v>11</v>
      </c>
      <c r="J157" s="116"/>
      <c r="K157" s="104" t="s">
        <v>22</v>
      </c>
      <c r="L157" s="114">
        <f t="shared" si="17"/>
        <v>14.5</v>
      </c>
      <c r="M157" s="104" t="s">
        <v>11</v>
      </c>
    </row>
    <row r="158" spans="1:21" s="8" customFormat="1" ht="13.8" thickBot="1" x14ac:dyDescent="0.3">
      <c r="A158" s="264"/>
      <c r="B158" s="101"/>
      <c r="C158" s="102" t="s">
        <v>313</v>
      </c>
      <c r="D158" s="101"/>
      <c r="E158" s="101"/>
      <c r="F158" s="115">
        <v>20</v>
      </c>
      <c r="G158" s="104" t="s">
        <v>22</v>
      </c>
      <c r="H158" s="114">
        <f t="shared" si="16"/>
        <v>14.5</v>
      </c>
      <c r="I158" s="104" t="s">
        <v>11</v>
      </c>
      <c r="J158" s="116"/>
      <c r="K158" s="104" t="s">
        <v>22</v>
      </c>
      <c r="L158" s="114">
        <f t="shared" si="17"/>
        <v>14.5</v>
      </c>
      <c r="M158" s="104" t="s">
        <v>11</v>
      </c>
      <c r="N158"/>
      <c r="O158"/>
      <c r="P158"/>
      <c r="Q158"/>
      <c r="R158"/>
      <c r="S158"/>
      <c r="T158"/>
      <c r="U158"/>
    </row>
    <row r="159" spans="1:21" ht="13.8" thickBot="1" x14ac:dyDescent="0.3">
      <c r="B159" s="101"/>
      <c r="C159" s="102" t="s">
        <v>314</v>
      </c>
      <c r="D159" s="101"/>
      <c r="E159" s="101"/>
      <c r="F159" s="115">
        <v>4</v>
      </c>
      <c r="G159" s="104" t="s">
        <v>22</v>
      </c>
      <c r="H159" s="114">
        <f t="shared" si="16"/>
        <v>14.5</v>
      </c>
      <c r="I159" s="104" t="s">
        <v>11</v>
      </c>
      <c r="J159" s="116"/>
      <c r="K159" s="104" t="s">
        <v>22</v>
      </c>
      <c r="L159" s="114">
        <f t="shared" si="17"/>
        <v>14.5</v>
      </c>
      <c r="M159" s="104" t="s">
        <v>11</v>
      </c>
    </row>
    <row r="160" spans="1:21" ht="13.8" thickBot="1" x14ac:dyDescent="0.3">
      <c r="B160" s="101"/>
      <c r="C160" s="102" t="s">
        <v>316</v>
      </c>
      <c r="D160" s="101"/>
      <c r="E160" s="101"/>
      <c r="F160" s="115">
        <v>4</v>
      </c>
      <c r="G160" s="104" t="s">
        <v>22</v>
      </c>
      <c r="H160" s="114">
        <f t="shared" si="16"/>
        <v>14.5</v>
      </c>
      <c r="I160" s="104" t="s">
        <v>11</v>
      </c>
      <c r="J160" s="116"/>
      <c r="K160" s="104" t="s">
        <v>22</v>
      </c>
      <c r="L160" s="114">
        <f t="shared" si="17"/>
        <v>14.5</v>
      </c>
      <c r="M160" s="104" t="s">
        <v>11</v>
      </c>
      <c r="N160" s="8"/>
      <c r="O160" s="8"/>
      <c r="P160" s="8"/>
      <c r="Q160" s="8"/>
      <c r="R160" s="8"/>
      <c r="S160" s="8"/>
      <c r="T160" s="8"/>
      <c r="U160" s="8"/>
    </row>
    <row r="161" spans="2:21" ht="13.8" thickBot="1" x14ac:dyDescent="0.3">
      <c r="B161" s="101"/>
      <c r="C161" s="102" t="s">
        <v>317</v>
      </c>
      <c r="D161" s="101"/>
      <c r="E161" s="101"/>
      <c r="F161" s="115">
        <v>8</v>
      </c>
      <c r="G161" s="104" t="s">
        <v>22</v>
      </c>
      <c r="H161" s="114">
        <f t="shared" si="16"/>
        <v>14.5</v>
      </c>
      <c r="I161" s="104" t="s">
        <v>11</v>
      </c>
      <c r="J161" s="116"/>
      <c r="K161" s="104" t="s">
        <v>22</v>
      </c>
      <c r="L161" s="114">
        <f t="shared" si="17"/>
        <v>14.5</v>
      </c>
      <c r="M161" s="104" t="s">
        <v>11</v>
      </c>
    </row>
    <row r="162" spans="2:21" ht="13.8" thickBot="1" x14ac:dyDescent="0.3">
      <c r="B162" s="101"/>
      <c r="C162" s="102" t="s">
        <v>132</v>
      </c>
      <c r="D162" s="101"/>
      <c r="E162" s="101"/>
      <c r="F162" s="115">
        <v>20</v>
      </c>
      <c r="G162" s="104" t="s">
        <v>22</v>
      </c>
      <c r="H162" s="114">
        <f t="shared" si="16"/>
        <v>14.5</v>
      </c>
      <c r="I162" s="104" t="s">
        <v>11</v>
      </c>
      <c r="J162" s="116">
        <v>20</v>
      </c>
      <c r="K162" s="104" t="s">
        <v>22</v>
      </c>
      <c r="L162" s="114">
        <f t="shared" si="17"/>
        <v>14.5</v>
      </c>
      <c r="M162" s="104" t="s">
        <v>11</v>
      </c>
    </row>
    <row r="163" spans="2:21" ht="13.8" thickBot="1" x14ac:dyDescent="0.3">
      <c r="B163" s="101"/>
      <c r="C163" s="102" t="s">
        <v>318</v>
      </c>
      <c r="D163" s="101"/>
      <c r="E163" s="101"/>
      <c r="F163" s="115">
        <v>10</v>
      </c>
      <c r="G163" s="104" t="s">
        <v>22</v>
      </c>
      <c r="H163" s="114">
        <f t="shared" si="16"/>
        <v>14.5</v>
      </c>
      <c r="I163" s="104" t="s">
        <v>11</v>
      </c>
      <c r="J163" s="116"/>
      <c r="K163" s="104" t="s">
        <v>22</v>
      </c>
      <c r="L163" s="114">
        <f t="shared" si="17"/>
        <v>14.5</v>
      </c>
      <c r="M163" s="104" t="s">
        <v>11</v>
      </c>
    </row>
    <row r="164" spans="2:21" ht="13.8" thickBot="1" x14ac:dyDescent="0.3">
      <c r="B164" s="101"/>
      <c r="C164" s="102" t="s">
        <v>319</v>
      </c>
      <c r="D164" s="101"/>
      <c r="E164" s="101"/>
      <c r="F164" s="116">
        <v>40</v>
      </c>
      <c r="G164" s="104" t="s">
        <v>22</v>
      </c>
      <c r="H164" s="114">
        <f t="shared" si="16"/>
        <v>14.5</v>
      </c>
      <c r="I164" s="104" t="s">
        <v>11</v>
      </c>
      <c r="J164" s="116">
        <v>40</v>
      </c>
      <c r="K164" s="104" t="s">
        <v>22</v>
      </c>
      <c r="L164" s="114">
        <f t="shared" si="17"/>
        <v>14.5</v>
      </c>
      <c r="M164" s="104" t="s">
        <v>11</v>
      </c>
    </row>
    <row r="165" spans="2:21" ht="13.8" thickBot="1" x14ac:dyDescent="0.3">
      <c r="B165" s="101"/>
      <c r="C165" s="102" t="s">
        <v>306</v>
      </c>
      <c r="D165" s="101"/>
      <c r="E165" s="101"/>
      <c r="F165" s="116">
        <v>10</v>
      </c>
      <c r="G165" s="104" t="s">
        <v>22</v>
      </c>
      <c r="H165" s="114">
        <f t="shared" si="16"/>
        <v>14.5</v>
      </c>
      <c r="I165" s="104" t="s">
        <v>11</v>
      </c>
      <c r="J165" s="116"/>
      <c r="K165" s="104" t="s">
        <v>22</v>
      </c>
      <c r="L165" s="114">
        <f t="shared" si="17"/>
        <v>14.5</v>
      </c>
      <c r="M165" s="104" t="s">
        <v>11</v>
      </c>
    </row>
    <row r="166" spans="2:21" ht="13.8" thickBot="1" x14ac:dyDescent="0.3">
      <c r="B166" s="101"/>
      <c r="C166" s="102" t="s">
        <v>305</v>
      </c>
      <c r="D166" s="101"/>
      <c r="E166" s="101"/>
      <c r="F166" s="116"/>
      <c r="G166" s="104" t="s">
        <v>22</v>
      </c>
      <c r="H166" s="114">
        <f t="shared" si="16"/>
        <v>14.5</v>
      </c>
      <c r="I166" s="104" t="s">
        <v>11</v>
      </c>
      <c r="J166" s="97"/>
      <c r="K166" s="104" t="s">
        <v>22</v>
      </c>
      <c r="L166" s="114">
        <f t="shared" si="17"/>
        <v>14.5</v>
      </c>
      <c r="M166" s="104" t="s">
        <v>11</v>
      </c>
    </row>
    <row r="167" spans="2:21" ht="13.8" thickBot="1" x14ac:dyDescent="0.3">
      <c r="B167" s="101"/>
      <c r="C167" s="102" t="s">
        <v>305</v>
      </c>
      <c r="D167" s="101"/>
      <c r="E167" s="101"/>
      <c r="F167" s="116"/>
      <c r="G167" s="104" t="s">
        <v>22</v>
      </c>
      <c r="H167" s="114">
        <f t="shared" si="16"/>
        <v>14.5</v>
      </c>
      <c r="I167" s="104" t="s">
        <v>11</v>
      </c>
      <c r="J167" s="97"/>
      <c r="K167" s="104" t="s">
        <v>22</v>
      </c>
      <c r="L167" s="114">
        <f t="shared" si="17"/>
        <v>14.5</v>
      </c>
      <c r="M167" s="104" t="s">
        <v>11</v>
      </c>
    </row>
    <row r="168" spans="2:21" ht="13.8" thickBot="1" x14ac:dyDescent="0.3">
      <c r="B168" s="101"/>
      <c r="C168" s="102" t="s">
        <v>305</v>
      </c>
      <c r="D168" s="103"/>
      <c r="E168" s="103"/>
      <c r="F168" s="97"/>
      <c r="G168" s="104" t="s">
        <v>22</v>
      </c>
      <c r="H168" s="114">
        <f t="shared" si="16"/>
        <v>14.5</v>
      </c>
      <c r="I168" s="104" t="s">
        <v>11</v>
      </c>
      <c r="J168" s="97"/>
      <c r="K168" s="104" t="s">
        <v>22</v>
      </c>
      <c r="L168" s="114">
        <f t="shared" si="17"/>
        <v>14.5</v>
      </c>
      <c r="M168" s="104" t="s">
        <v>11</v>
      </c>
    </row>
    <row r="169" spans="2:21" x14ac:dyDescent="0.25">
      <c r="B169" s="264"/>
      <c r="C169" s="265" t="s">
        <v>196</v>
      </c>
      <c r="D169" s="266"/>
      <c r="E169" s="266"/>
      <c r="F169" s="267">
        <f>SUM(F152:F168)</f>
        <v>144</v>
      </c>
      <c r="G169" s="264" t="s">
        <v>22</v>
      </c>
      <c r="H169" s="268">
        <f>F169*H152</f>
        <v>2088</v>
      </c>
      <c r="I169" s="264" t="s">
        <v>14</v>
      </c>
      <c r="J169" s="269">
        <f>SUM(J152:J168)</f>
        <v>70</v>
      </c>
      <c r="K169" s="264" t="s">
        <v>22</v>
      </c>
      <c r="L169" s="268">
        <f>J169*L152</f>
        <v>1015</v>
      </c>
      <c r="M169" s="264" t="s">
        <v>14</v>
      </c>
    </row>
    <row r="171" spans="2:21" ht="40.049999999999997" customHeight="1" x14ac:dyDescent="0.25">
      <c r="N171" s="8"/>
      <c r="O171" s="8"/>
      <c r="P171" s="8"/>
      <c r="Q171" s="8"/>
      <c r="R171" s="8"/>
      <c r="S171" s="8"/>
      <c r="T171" s="8"/>
      <c r="U171" s="8"/>
    </row>
    <row r="174" spans="2:21" ht="37.950000000000003" customHeight="1" x14ac:dyDescent="0.25"/>
    <row r="186" spans="1:21" s="8" customFormat="1" x14ac:dyDescent="0.25">
      <c r="A186" s="264"/>
      <c r="B186"/>
      <c r="C186"/>
      <c r="D186"/>
      <c r="E186"/>
      <c r="F186"/>
      <c r="G186"/>
      <c r="H186"/>
      <c r="I186"/>
      <c r="J186"/>
      <c r="K186"/>
      <c r="L186"/>
      <c r="M186"/>
      <c r="N186"/>
      <c r="O186"/>
      <c r="P186"/>
      <c r="Q186"/>
      <c r="R186"/>
      <c r="S186"/>
      <c r="T186"/>
      <c r="U186"/>
    </row>
    <row r="188" spans="1:21" x14ac:dyDescent="0.25">
      <c r="N188" s="8"/>
      <c r="O188" s="8"/>
      <c r="P188" s="8"/>
      <c r="Q188" s="8"/>
      <c r="R188" s="8"/>
      <c r="S188" s="8"/>
      <c r="T188" s="8"/>
      <c r="U188" s="8"/>
    </row>
  </sheetData>
  <mergeCells count="45">
    <mergeCell ref="F126:G126"/>
    <mergeCell ref="H126:I126"/>
    <mergeCell ref="J126:K126"/>
    <mergeCell ref="B148:M148"/>
    <mergeCell ref="E150:G150"/>
    <mergeCell ref="H150:I150"/>
    <mergeCell ref="J150:K150"/>
    <mergeCell ref="L150:M150"/>
    <mergeCell ref="F105:G105"/>
    <mergeCell ref="H105:I105"/>
    <mergeCell ref="J105:K105"/>
    <mergeCell ref="F118:G118"/>
    <mergeCell ref="H118:I118"/>
    <mergeCell ref="J118:K118"/>
    <mergeCell ref="L69:M69"/>
    <mergeCell ref="F76:G76"/>
    <mergeCell ref="H76:I76"/>
    <mergeCell ref="J76:K76"/>
    <mergeCell ref="F86:G86"/>
    <mergeCell ref="H86:I86"/>
    <mergeCell ref="J86:K86"/>
    <mergeCell ref="F71:G71"/>
    <mergeCell ref="H71:I71"/>
    <mergeCell ref="J71:K71"/>
    <mergeCell ref="C41:D41"/>
    <mergeCell ref="B45:D45"/>
    <mergeCell ref="C48:D48"/>
    <mergeCell ref="B52:C52"/>
    <mergeCell ref="C55:D55"/>
    <mergeCell ref="B57:D57"/>
    <mergeCell ref="B62:D62"/>
    <mergeCell ref="B64:D64"/>
    <mergeCell ref="B66:D66"/>
    <mergeCell ref="B69:E69"/>
    <mergeCell ref="B38:D38"/>
    <mergeCell ref="B4:L4"/>
    <mergeCell ref="O9:Q9"/>
    <mergeCell ref="T9:U9"/>
    <mergeCell ref="B11:D11"/>
    <mergeCell ref="O18:Q18"/>
    <mergeCell ref="B26:E26"/>
    <mergeCell ref="B27:E27"/>
    <mergeCell ref="B28:D28"/>
    <mergeCell ref="B31:C31"/>
    <mergeCell ref="C34:D34"/>
  </mergeCells>
  <hyperlinks>
    <hyperlink ref="L69" location="'Avomaan mansikka'!B2" display="PALAA SIVUN YLÄLAITAAN" xr:uid="{DCAB0607-1C24-C34B-B09E-B99F9624A271}"/>
    <hyperlink ref="L69:M69" location="'Planterad grönsak 1'!A1" display="TILL SIDANS BÖRJAN" xr:uid="{21285D6F-C63A-0041-AE2F-ED1F5EA0E88D}"/>
    <hyperlink ref="B31:C31" location="Ägendom!B13" display="BYGGNADER" xr:uid="{EB0FFE4B-BEC4-4E32-AD4C-E59B482F3542}"/>
    <hyperlink ref="B38:D38" location="Ägendom!B27" display="MASKINER OCH UTRUSTNING" xr:uid="{2CD6DA4A-8924-451F-9C42-659EE79B0B88}"/>
    <hyperlink ref="B45:D45" location="Ägendom!B56" display="LÅNGVARIGA PRODUKTIONSMEDEL" xr:uid="{4567637F-635E-4806-878B-9EA2F15DDCD3}"/>
    <hyperlink ref="B52:C52" location="Ägendom!B79" display="TÄCKDIKEN" xr:uid="{758A5353-B8C9-48A0-97C5-DB0747C6731C}"/>
    <hyperlink ref="B2" location="'Gårdens info'!A1" display="ÅTERGÅ TILL FRAMSIDAN" xr:uid="{4C9CD24C-B855-4AC4-87D2-6360636531E8}"/>
    <hyperlink ref="B26:E26" location="'Gårdens info'!A131" display="ALLMÄNNA KOSTNADER, grönsakens andel" xr:uid="{BB91215F-ADBE-4572-921D-3ED19B971457}"/>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593D4-C352-2542-9BB9-8B7BDCD6763F}">
  <sheetPr>
    <tabColor theme="7" tint="0.59999389629810485"/>
  </sheetPr>
  <dimension ref="A1:AC188"/>
  <sheetViews>
    <sheetView topLeftCell="M30" workbookViewId="0">
      <selection activeCell="L71" sqref="F71:L72"/>
    </sheetView>
  </sheetViews>
  <sheetFormatPr defaultColWidth="11.44140625" defaultRowHeight="13.2" x14ac:dyDescent="0.25"/>
  <cols>
    <col min="1" max="1" width="5.33203125" style="585" customWidth="1"/>
    <col min="3" max="3" width="16.77734375" customWidth="1"/>
    <col min="4" max="4" width="22.6640625" customWidth="1"/>
    <col min="5" max="5" width="12.109375" bestFit="1" customWidth="1"/>
    <col min="6" max="6" width="20.6640625" bestFit="1" customWidth="1"/>
    <col min="7" max="7" width="6.33203125" customWidth="1"/>
    <col min="9" max="9" width="6" customWidth="1"/>
    <col min="10" max="10" width="15.109375" customWidth="1"/>
    <col min="11" max="11" width="9.6640625" customWidth="1"/>
    <col min="12" max="12" width="20" customWidth="1"/>
    <col min="13" max="13" width="12.109375" customWidth="1"/>
    <col min="14" max="14" width="9.44140625" customWidth="1"/>
    <col min="15" max="15" width="8.6640625" customWidth="1"/>
    <col min="16" max="16" width="4.44140625" customWidth="1"/>
    <col min="17" max="17" width="15" customWidth="1"/>
    <col min="18" max="18" width="5.109375" customWidth="1"/>
    <col min="19" max="19" width="18.33203125" bestFit="1" customWidth="1"/>
  </cols>
  <sheetData>
    <row r="1" spans="1:21" s="585" customFormat="1" ht="22.8" x14ac:dyDescent="0.4">
      <c r="B1" s="592" t="s">
        <v>260</v>
      </c>
    </row>
    <row r="2" spans="1:21" ht="27" customHeight="1" x14ac:dyDescent="0.3">
      <c r="B2" s="852" t="s">
        <v>337</v>
      </c>
      <c r="C2" s="852"/>
      <c r="F2" s="91"/>
      <c r="G2" s="91"/>
      <c r="H2" s="91"/>
    </row>
    <row r="3" spans="1:21" ht="27" customHeight="1" x14ac:dyDescent="0.3">
      <c r="B3" s="839"/>
      <c r="C3" s="839"/>
    </row>
    <row r="4" spans="1:21" ht="36" customHeight="1" x14ac:dyDescent="0.3">
      <c r="B4" s="942" t="s">
        <v>236</v>
      </c>
      <c r="C4" s="942"/>
      <c r="D4" s="942"/>
      <c r="E4" s="942"/>
      <c r="F4" s="942"/>
      <c r="G4" s="942"/>
      <c r="H4" s="942"/>
      <c r="I4" s="942"/>
      <c r="J4" s="942"/>
      <c r="K4" s="942"/>
      <c r="L4" s="942"/>
    </row>
    <row r="5" spans="1:21" ht="27" customHeight="1" thickBot="1" x14ac:dyDescent="0.35">
      <c r="B5" s="759"/>
      <c r="C5" s="759"/>
    </row>
    <row r="6" spans="1:21" ht="27" customHeight="1" x14ac:dyDescent="0.4">
      <c r="B6" s="318" t="s">
        <v>257</v>
      </c>
      <c r="C6" s="282"/>
      <c r="D6" s="283"/>
      <c r="E6" s="283"/>
      <c r="F6" s="283"/>
      <c r="G6" s="283"/>
      <c r="H6" s="283"/>
      <c r="I6" s="283"/>
      <c r="J6" s="283"/>
      <c r="K6" s="283"/>
      <c r="L6" s="283"/>
      <c r="M6" s="284"/>
      <c r="N6" s="441"/>
      <c r="O6" s="283"/>
      <c r="P6" s="283"/>
      <c r="Q6" s="283"/>
      <c r="R6" s="283"/>
      <c r="S6" s="283"/>
      <c r="T6" s="283"/>
      <c r="U6" s="284"/>
    </row>
    <row r="7" spans="1:21" ht="27" customHeight="1" x14ac:dyDescent="0.4">
      <c r="B7" s="285"/>
      <c r="C7" s="286"/>
      <c r="D7" s="148"/>
      <c r="E7" s="148"/>
      <c r="F7" s="148"/>
      <c r="G7" s="148"/>
      <c r="H7" s="148"/>
      <c r="I7" s="148"/>
      <c r="J7" s="148"/>
      <c r="K7" s="148"/>
      <c r="L7" s="148"/>
      <c r="M7" s="287"/>
      <c r="N7" s="442"/>
      <c r="O7" s="148"/>
      <c r="P7" s="148"/>
      <c r="Q7" s="148"/>
      <c r="R7" s="148"/>
      <c r="S7" s="148"/>
      <c r="T7" s="148"/>
      <c r="U7" s="287"/>
    </row>
    <row r="8" spans="1:21" ht="21" x14ac:dyDescent="0.4">
      <c r="B8" s="319" t="s">
        <v>238</v>
      </c>
      <c r="C8" s="286"/>
      <c r="D8" s="148"/>
      <c r="E8" s="151"/>
      <c r="F8" s="151"/>
      <c r="G8" s="151"/>
      <c r="H8" s="151"/>
      <c r="I8" s="148"/>
      <c r="J8" s="148"/>
      <c r="K8" s="148"/>
      <c r="L8" s="148"/>
      <c r="M8" s="287"/>
      <c r="N8" s="319" t="s">
        <v>201</v>
      </c>
      <c r="O8" s="148"/>
      <c r="P8" s="148"/>
      <c r="Q8" s="148"/>
      <c r="R8" s="148"/>
      <c r="S8" s="148"/>
      <c r="T8" s="148"/>
      <c r="U8" s="300"/>
    </row>
    <row r="9" spans="1:21" ht="21" customHeight="1" thickBot="1" x14ac:dyDescent="0.35">
      <c r="B9" s="288"/>
      <c r="C9" s="289" t="s">
        <v>239</v>
      </c>
      <c r="D9" s="151"/>
      <c r="E9" s="151"/>
      <c r="F9" s="290">
        <f>H9*'Gårdens info'!G17</f>
        <v>0</v>
      </c>
      <c r="G9" s="151" t="s">
        <v>14</v>
      </c>
      <c r="H9" s="619">
        <f>IF('Gårdens info'!G17&gt;0,(('Gårdens info'!D17*'Gårdens info'!G17*S10*T10)+('Gårdens info'!D17*'Gårdens info'!G17*S11*T11)+('Gårdens info'!D17*'Gårdens info'!G17*S12*T12)+('Gårdens info'!D17*'Gårdens info'!G17*S13*T13)+('Gårdens info'!D17*'Gårdens info'!G17*S14*T14)+('Gårdens info'!D17*'Gårdens info'!G17*S15*T15)+('Gårdens info'!D17*'Gårdens info'!G17*S16*T16)+('Gårdens info'!D17*'Gårdens info'!G17*S17*T17))/(('Gårdens info'!D17*'Gårdens info'!G17)),0)</f>
        <v>0</v>
      </c>
      <c r="I9" s="151" t="s">
        <v>6</v>
      </c>
      <c r="J9" s="290">
        <f>F9*'Gårdens info'!D17</f>
        <v>0</v>
      </c>
      <c r="K9" s="151" t="s">
        <v>365</v>
      </c>
      <c r="L9" s="151"/>
      <c r="M9" s="287"/>
      <c r="N9" s="442"/>
      <c r="O9" s="943" t="s">
        <v>366</v>
      </c>
      <c r="P9" s="943"/>
      <c r="Q9" s="943"/>
      <c r="R9" s="760"/>
      <c r="S9" s="444" t="s">
        <v>339</v>
      </c>
      <c r="T9" s="967" t="s">
        <v>340</v>
      </c>
      <c r="U9" s="968"/>
    </row>
    <row r="10" spans="1:21" ht="15.6" thickBot="1" x14ac:dyDescent="0.3">
      <c r="B10" s="288"/>
      <c r="C10" s="151" t="s">
        <v>224</v>
      </c>
      <c r="D10" s="151"/>
      <c r="E10" s="151"/>
      <c r="F10" s="290">
        <f>IF('Gårdens info'!D17&gt;0,Stöd!J6/'Gårdens info'!D37*Stöd!L6+Stöd!J7/'Gårdens info'!D37*Stöd!L7+Stöd!J8/'Gårdens info'!D37*Stöd!L8+Stöd!J12/'Gårdens info'!D37*Stöd!L12+Stöd!J16/'Gårdens info'!D37*Stöd!L16+Stöd!J18/'Gårdens info'!D37*Stöd!L18+Stöd!J19/'Gårdens info'!D37*Stöd!L19+Stöd!J20/'Gårdens info'!D37*Stöd!L20+Stöd!J21/'Gårdens info'!D37*Stöd!L21,0)</f>
        <v>0</v>
      </c>
      <c r="G10" s="151" t="s">
        <v>14</v>
      </c>
      <c r="H10" s="619">
        <f>IF('Gårdens info'!G17&gt;0,F10/'Gårdens info'!G17,0)</f>
        <v>0</v>
      </c>
      <c r="I10" s="151" t="s">
        <v>6</v>
      </c>
      <c r="J10" s="290">
        <f>F10*'Gårdens info'!D17</f>
        <v>0</v>
      </c>
      <c r="K10" s="151" t="s">
        <v>365</v>
      </c>
      <c r="L10" s="151"/>
      <c r="M10" s="287"/>
      <c r="N10" s="442"/>
      <c r="O10" s="151">
        <v>1</v>
      </c>
      <c r="P10" s="151" t="s">
        <v>21</v>
      </c>
      <c r="Q10" s="151" t="s">
        <v>333</v>
      </c>
      <c r="R10" s="151"/>
      <c r="S10" s="452">
        <v>0</v>
      </c>
      <c r="T10" s="317"/>
      <c r="U10" s="300" t="s">
        <v>6</v>
      </c>
    </row>
    <row r="11" spans="1:21" s="8" customFormat="1" ht="21.6" customHeight="1" thickBot="1" x14ac:dyDescent="0.45">
      <c r="A11" s="586"/>
      <c r="B11" s="932" t="s">
        <v>240</v>
      </c>
      <c r="C11" s="933"/>
      <c r="D11" s="933"/>
      <c r="E11" s="324"/>
      <c r="F11" s="328">
        <f>F9+F10</f>
        <v>0</v>
      </c>
      <c r="G11" s="329" t="s">
        <v>14</v>
      </c>
      <c r="H11" s="618">
        <f>H9+H10</f>
        <v>0</v>
      </c>
      <c r="I11" s="329" t="s">
        <v>6</v>
      </c>
      <c r="J11" s="331">
        <f>J9+J10</f>
        <v>0</v>
      </c>
      <c r="K11" s="329" t="s">
        <v>365</v>
      </c>
      <c r="L11" s="329"/>
      <c r="M11" s="321"/>
      <c r="N11" s="445"/>
      <c r="O11" s="151">
        <v>0.25</v>
      </c>
      <c r="P11" s="151" t="s">
        <v>21</v>
      </c>
      <c r="Q11" s="151" t="s">
        <v>334</v>
      </c>
      <c r="R11" s="151"/>
      <c r="S11" s="454">
        <v>0</v>
      </c>
      <c r="T11" s="317"/>
      <c r="U11" s="300" t="s">
        <v>6</v>
      </c>
    </row>
    <row r="12" spans="1:21" s="8" customFormat="1" ht="21.6" thickBot="1" x14ac:dyDescent="0.45">
      <c r="A12" s="586"/>
      <c r="B12" s="832"/>
      <c r="C12" s="833"/>
      <c r="D12" s="833"/>
      <c r="E12" s="324"/>
      <c r="F12" s="328"/>
      <c r="G12" s="329"/>
      <c r="H12" s="330"/>
      <c r="I12" s="329"/>
      <c r="J12" s="331"/>
      <c r="K12" s="329"/>
      <c r="L12" s="329"/>
      <c r="M12" s="321"/>
      <c r="N12" s="445"/>
      <c r="O12" s="151">
        <v>0.5</v>
      </c>
      <c r="P12" s="151" t="s">
        <v>21</v>
      </c>
      <c r="Q12" s="151" t="s">
        <v>333</v>
      </c>
      <c r="R12" s="151"/>
      <c r="S12" s="454">
        <v>0</v>
      </c>
      <c r="T12" s="317"/>
      <c r="U12" s="300" t="s">
        <v>6</v>
      </c>
    </row>
    <row r="13" spans="1:21" ht="22.05" customHeight="1" thickBot="1" x14ac:dyDescent="0.35">
      <c r="B13" s="292"/>
      <c r="C13" s="286"/>
      <c r="D13" s="148"/>
      <c r="E13" s="148"/>
      <c r="F13" s="148"/>
      <c r="G13" s="148"/>
      <c r="H13" s="148"/>
      <c r="I13" s="148"/>
      <c r="J13" s="293"/>
      <c r="K13" s="148"/>
      <c r="L13" s="148"/>
      <c r="M13" s="287"/>
      <c r="N13" s="442"/>
      <c r="O13" s="151">
        <v>10</v>
      </c>
      <c r="P13" s="151" t="s">
        <v>21</v>
      </c>
      <c r="Q13" s="151" t="s">
        <v>335</v>
      </c>
      <c r="R13" s="151"/>
      <c r="S13" s="454">
        <v>1</v>
      </c>
      <c r="T13" s="317">
        <v>0.76</v>
      </c>
      <c r="U13" s="300" t="s">
        <v>6</v>
      </c>
    </row>
    <row r="14" spans="1:21" ht="21.6" thickBot="1" x14ac:dyDescent="0.45">
      <c r="B14" s="319" t="s">
        <v>241</v>
      </c>
      <c r="C14" s="286"/>
      <c r="D14" s="148"/>
      <c r="E14" s="148"/>
      <c r="F14" s="148"/>
      <c r="G14" s="148"/>
      <c r="H14" s="148"/>
      <c r="I14" s="148"/>
      <c r="J14" s="293"/>
      <c r="K14" s="148"/>
      <c r="L14" s="148"/>
      <c r="M14" s="287"/>
      <c r="N14" s="442"/>
      <c r="O14" s="812">
        <f>D111</f>
        <v>0</v>
      </c>
      <c r="P14" s="151" t="s">
        <v>21</v>
      </c>
      <c r="Q14" s="362" t="str">
        <f>C111</f>
        <v>förpackning X</v>
      </c>
      <c r="R14" s="151"/>
      <c r="S14" s="454">
        <v>0</v>
      </c>
      <c r="T14" s="317"/>
      <c r="U14" s="300" t="s">
        <v>6</v>
      </c>
    </row>
    <row r="15" spans="1:21" s="77" customFormat="1" ht="16.95" customHeight="1" thickBot="1" x14ac:dyDescent="0.35">
      <c r="A15" s="588"/>
      <c r="B15" s="602"/>
      <c r="C15" s="306"/>
      <c r="D15" s="310"/>
      <c r="E15" s="310"/>
      <c r="F15" s="311"/>
      <c r="G15" s="153"/>
      <c r="H15" s="310"/>
      <c r="I15" s="310"/>
      <c r="J15" s="310"/>
      <c r="K15" s="310"/>
      <c r="L15" s="310"/>
      <c r="M15" s="295"/>
      <c r="N15" s="442"/>
      <c r="O15" s="812">
        <f t="shared" ref="O15:O17" si="0">D112</f>
        <v>0</v>
      </c>
      <c r="P15" s="151" t="s">
        <v>21</v>
      </c>
      <c r="Q15" s="362" t="str">
        <f t="shared" ref="Q15:Q17" si="1">C112</f>
        <v>förpackning X</v>
      </c>
      <c r="R15" s="151"/>
      <c r="S15" s="454">
        <v>0</v>
      </c>
      <c r="T15" s="317"/>
      <c r="U15" s="300" t="s">
        <v>6</v>
      </c>
    </row>
    <row r="16" spans="1:21" s="91" customFormat="1" ht="16.95" customHeight="1" thickBot="1" x14ac:dyDescent="0.3">
      <c r="A16" s="588"/>
      <c r="B16" s="602"/>
      <c r="C16" s="289" t="s">
        <v>243</v>
      </c>
      <c r="D16" s="297"/>
      <c r="E16" s="297"/>
      <c r="F16" s="308">
        <f>IF('Gårdens info'!D17&gt;0,J73,0)</f>
        <v>0</v>
      </c>
      <c r="G16" s="151" t="s">
        <v>14</v>
      </c>
      <c r="H16" s="614">
        <f>IF('Gårdens info'!$G$17&gt;0,F16/'Gårdens info'!$G$17,)</f>
        <v>0</v>
      </c>
      <c r="I16" s="151" t="s">
        <v>6</v>
      </c>
      <c r="J16" s="298">
        <f>F16*'Gårdens info'!$D$17</f>
        <v>0</v>
      </c>
      <c r="K16" s="151" t="s">
        <v>365</v>
      </c>
      <c r="L16" s="297"/>
      <c r="M16" s="300"/>
      <c r="N16" s="288"/>
      <c r="O16" s="812">
        <f t="shared" si="0"/>
        <v>0</v>
      </c>
      <c r="P16" s="151" t="s">
        <v>21</v>
      </c>
      <c r="Q16" s="362" t="str">
        <f t="shared" si="1"/>
        <v>förpackning X</v>
      </c>
      <c r="R16" s="151"/>
      <c r="S16" s="454">
        <v>0</v>
      </c>
      <c r="T16" s="317"/>
      <c r="U16" s="300" t="s">
        <v>6</v>
      </c>
    </row>
    <row r="17" spans="1:29" s="91" customFormat="1" ht="15.6" thickBot="1" x14ac:dyDescent="0.3">
      <c r="A17" s="588"/>
      <c r="B17" s="296"/>
      <c r="C17" s="289" t="s">
        <v>244</v>
      </c>
      <c r="D17" s="297"/>
      <c r="E17" s="297"/>
      <c r="F17" s="298">
        <f>IF('Gårdens info'!D17&gt;0,J83,0)</f>
        <v>0</v>
      </c>
      <c r="G17" s="151" t="s">
        <v>14</v>
      </c>
      <c r="H17" s="614">
        <f>IF('Gårdens info'!$G$17&gt;0,F17/'Gårdens info'!$G$17,)</f>
        <v>0</v>
      </c>
      <c r="I17" s="151" t="s">
        <v>6</v>
      </c>
      <c r="J17" s="298">
        <f>F17*'Gårdens info'!$D$17</f>
        <v>0</v>
      </c>
      <c r="K17" s="151" t="s">
        <v>365</v>
      </c>
      <c r="L17" s="297"/>
      <c r="M17" s="300"/>
      <c r="N17" s="442"/>
      <c r="O17" s="812">
        <f t="shared" si="0"/>
        <v>0</v>
      </c>
      <c r="P17" s="151" t="s">
        <v>21</v>
      </c>
      <c r="Q17" s="362" t="str">
        <f t="shared" si="1"/>
        <v>förpackning X</v>
      </c>
      <c r="R17" s="151"/>
      <c r="S17" s="453">
        <v>0</v>
      </c>
      <c r="T17" s="317"/>
      <c r="U17" s="300" t="s">
        <v>6</v>
      </c>
    </row>
    <row r="18" spans="1:29" s="91" customFormat="1" ht="17.399999999999999" x14ac:dyDescent="0.3">
      <c r="A18" s="588"/>
      <c r="B18" s="296"/>
      <c r="C18" s="289" t="s">
        <v>245</v>
      </c>
      <c r="D18" s="297"/>
      <c r="E18" s="297"/>
      <c r="F18" s="298">
        <f>IF('Gårdens info'!D17&gt;0,J102,0)</f>
        <v>0</v>
      </c>
      <c r="G18" s="151" t="s">
        <v>14</v>
      </c>
      <c r="H18" s="614">
        <f>IF('Gårdens info'!$G$17&gt;0,F18/'Gårdens info'!$G$17,)</f>
        <v>0</v>
      </c>
      <c r="I18" s="151" t="s">
        <v>6</v>
      </c>
      <c r="J18" s="298">
        <f>F18*'Gårdens info'!$D$17</f>
        <v>0</v>
      </c>
      <c r="K18" s="151" t="s">
        <v>365</v>
      </c>
      <c r="L18" s="297"/>
      <c r="M18" s="300"/>
      <c r="N18" s="446"/>
      <c r="O18" s="946" t="s">
        <v>196</v>
      </c>
      <c r="P18" s="946"/>
      <c r="Q18" s="946"/>
      <c r="R18" s="153"/>
      <c r="S18" s="450">
        <f>SUM(S10:S17)</f>
        <v>1</v>
      </c>
      <c r="T18" s="153"/>
      <c r="U18" s="295"/>
    </row>
    <row r="19" spans="1:29" s="91" customFormat="1" ht="15.6" x14ac:dyDescent="0.3">
      <c r="A19" s="588"/>
      <c r="B19" s="296"/>
      <c r="C19" s="289" t="s">
        <v>246</v>
      </c>
      <c r="D19" s="297"/>
      <c r="E19" s="297"/>
      <c r="F19" s="298">
        <f>IF('Gårdens info'!D17&gt;0,J115,0)</f>
        <v>0</v>
      </c>
      <c r="G19" s="151" t="s">
        <v>14</v>
      </c>
      <c r="H19" s="614">
        <f>IF('Gårdens info'!$G$17&gt;0,F19/'Gårdens info'!$G$17,)</f>
        <v>0</v>
      </c>
      <c r="I19" s="151" t="s">
        <v>6</v>
      </c>
      <c r="J19" s="298">
        <f>F19*'Gårdens info'!$D$17</f>
        <v>0</v>
      </c>
      <c r="K19" s="151" t="s">
        <v>365</v>
      </c>
      <c r="L19" s="297"/>
      <c r="M19" s="300"/>
      <c r="N19" s="288"/>
      <c r="O19" s="451" t="str">
        <f>IF(S18=100%," ","HUOM! Osuus myyynneistä pitää summautua 100 prosenttiin")</f>
        <v xml:space="preserve"> </v>
      </c>
      <c r="P19" s="151"/>
      <c r="R19" s="151"/>
      <c r="S19" s="151"/>
      <c r="T19" s="151"/>
      <c r="U19" s="300"/>
    </row>
    <row r="20" spans="1:29" s="91" customFormat="1" ht="15.6" thickBot="1" x14ac:dyDescent="0.3">
      <c r="A20" s="588"/>
      <c r="B20" s="296"/>
      <c r="C20" s="289" t="s">
        <v>247</v>
      </c>
      <c r="D20" s="297"/>
      <c r="E20" s="297"/>
      <c r="F20" s="298">
        <f>IF('Gårdens info'!D17&gt;0,J123,0)</f>
        <v>0</v>
      </c>
      <c r="G20" s="151" t="s">
        <v>14</v>
      </c>
      <c r="H20" s="614">
        <f>IF('Gårdens info'!$G$17&gt;0,F20/'Gårdens info'!$G$17,)</f>
        <v>0</v>
      </c>
      <c r="I20" s="151" t="s">
        <v>6</v>
      </c>
      <c r="J20" s="298">
        <f>F20*'Gårdens info'!$D$17</f>
        <v>0</v>
      </c>
      <c r="K20" s="151" t="s">
        <v>365</v>
      </c>
      <c r="L20" s="297"/>
      <c r="M20" s="300"/>
      <c r="N20" s="447"/>
      <c r="O20" s="448"/>
      <c r="P20" s="448"/>
      <c r="Q20" s="448"/>
      <c r="R20" s="448"/>
      <c r="S20" s="448"/>
      <c r="T20" s="448"/>
      <c r="U20" s="449"/>
    </row>
    <row r="21" spans="1:29" s="91" customFormat="1" ht="15" x14ac:dyDescent="0.25">
      <c r="A21" s="588"/>
      <c r="B21" s="296"/>
      <c r="C21" s="289" t="s">
        <v>248</v>
      </c>
      <c r="D21" s="297"/>
      <c r="E21" s="297"/>
      <c r="F21" s="298">
        <f>IF('Gårdens info'!D17&gt;0,J131,0)</f>
        <v>0</v>
      </c>
      <c r="G21" s="151" t="s">
        <v>14</v>
      </c>
      <c r="H21" s="614">
        <f>IF('Gårdens info'!$G$17&gt;0,F21/'Gårdens info'!$G$17,)</f>
        <v>0</v>
      </c>
      <c r="I21" s="151" t="s">
        <v>6</v>
      </c>
      <c r="J21" s="298">
        <f>F21*'Gårdens info'!$D$17</f>
        <v>0</v>
      </c>
      <c r="K21" s="151" t="s">
        <v>365</v>
      </c>
      <c r="L21" s="297"/>
      <c r="M21" s="300"/>
    </row>
    <row r="22" spans="1:29" s="91" customFormat="1" ht="15" x14ac:dyDescent="0.25">
      <c r="A22" s="588"/>
      <c r="B22" s="296"/>
      <c r="C22" s="289" t="s">
        <v>249</v>
      </c>
      <c r="D22" s="297"/>
      <c r="E22" s="297"/>
      <c r="F22" s="298">
        <f>IF('Gårdens info'!D17&gt;0,J143,0)</f>
        <v>0</v>
      </c>
      <c r="G22" s="151" t="s">
        <v>14</v>
      </c>
      <c r="H22" s="614">
        <f>IF('Gårdens info'!$G$17&gt;0,F22/'Gårdens info'!$G$17,)</f>
        <v>0</v>
      </c>
      <c r="I22" s="151" t="s">
        <v>6</v>
      </c>
      <c r="J22" s="298">
        <f>F22*'Gårdens info'!$D$17</f>
        <v>0</v>
      </c>
      <c r="K22" s="151" t="s">
        <v>365</v>
      </c>
      <c r="L22" s="297"/>
      <c r="M22" s="300"/>
    </row>
    <row r="23" spans="1:29" s="91" customFormat="1" ht="15" x14ac:dyDescent="0.25">
      <c r="A23" s="588"/>
      <c r="B23" s="296"/>
      <c r="C23" s="289" t="s">
        <v>250</v>
      </c>
      <c r="D23" s="297"/>
      <c r="E23" s="297"/>
      <c r="F23" s="298">
        <f>IF('Gårdens info'!D17&gt;0,L169,0)</f>
        <v>0</v>
      </c>
      <c r="G23" s="151" t="s">
        <v>14</v>
      </c>
      <c r="H23" s="614">
        <f>IF('Gårdens info'!$G$17&gt;0,F23/'Gårdens info'!$G$17,)</f>
        <v>0</v>
      </c>
      <c r="I23" s="151" t="s">
        <v>6</v>
      </c>
      <c r="J23" s="298">
        <f>F23*'Gårdens info'!$D$17</f>
        <v>0</v>
      </c>
      <c r="K23" s="151" t="s">
        <v>365</v>
      </c>
      <c r="L23" s="297"/>
      <c r="M23" s="300"/>
    </row>
    <row r="24" spans="1:29" ht="15.6" x14ac:dyDescent="0.3">
      <c r="B24" s="312"/>
      <c r="C24" s="301" t="s">
        <v>196</v>
      </c>
      <c r="D24" s="302"/>
      <c r="E24" s="302"/>
      <c r="F24" s="303">
        <f>SUM(F16:F23)</f>
        <v>0</v>
      </c>
      <c r="G24" s="304" t="s">
        <v>14</v>
      </c>
      <c r="H24" s="615">
        <f>SUM(H16:H23)</f>
        <v>0</v>
      </c>
      <c r="I24" s="304" t="s">
        <v>6</v>
      </c>
      <c r="J24" s="303">
        <f>SUM(J16:J23)</f>
        <v>0</v>
      </c>
      <c r="K24" s="304" t="s">
        <v>365</v>
      </c>
      <c r="L24" s="302"/>
      <c r="M24" s="313"/>
      <c r="N24" s="91"/>
      <c r="O24" s="91"/>
      <c r="P24" s="91"/>
      <c r="Q24" s="91"/>
      <c r="R24" s="91"/>
      <c r="S24" s="91"/>
      <c r="T24" s="91"/>
      <c r="U24" s="91"/>
    </row>
    <row r="25" spans="1:29" s="77" customFormat="1" ht="17.399999999999999" x14ac:dyDescent="0.3">
      <c r="A25" s="587"/>
      <c r="B25" s="292"/>
      <c r="C25" s="306"/>
      <c r="D25" s="307"/>
      <c r="E25" s="307"/>
      <c r="F25" s="308"/>
      <c r="G25" s="151"/>
      <c r="H25" s="616"/>
      <c r="I25" s="307"/>
      <c r="J25" s="307"/>
      <c r="K25" s="307"/>
      <c r="L25" s="307"/>
      <c r="M25" s="287"/>
      <c r="N25" s="91"/>
      <c r="O25" s="91"/>
      <c r="P25" s="91"/>
      <c r="R25" s="91"/>
      <c r="S25" s="91"/>
      <c r="T25" s="91"/>
      <c r="U25" s="91"/>
      <c r="AB25" s="551" t="s">
        <v>75</v>
      </c>
      <c r="AC25" s="678">
        <f>F16</f>
        <v>0</v>
      </c>
    </row>
    <row r="26" spans="1:29" s="91" customFormat="1" ht="17.399999999999999" customHeight="1" x14ac:dyDescent="0.3">
      <c r="A26" s="588"/>
      <c r="B26" s="947" t="s">
        <v>346</v>
      </c>
      <c r="C26" s="948"/>
      <c r="D26" s="948"/>
      <c r="E26" s="948"/>
      <c r="F26" s="325">
        <f>IF('Gårdens info'!D17&gt;0,J26/'Gårdens info'!D17,0)</f>
        <v>0</v>
      </c>
      <c r="G26" s="304" t="s">
        <v>14</v>
      </c>
      <c r="H26" s="617">
        <f>IF('Gårdens info'!G17&gt;0,F26/'Gårdens info'!G17,0)</f>
        <v>0</v>
      </c>
      <c r="I26" s="304" t="s">
        <v>6</v>
      </c>
      <c r="J26" s="320">
        <f>'Gårdens info'!G147/'Gårdens info'!D37*'Gårdens info'!D17</f>
        <v>0</v>
      </c>
      <c r="K26" s="304" t="s">
        <v>365</v>
      </c>
      <c r="L26" s="327"/>
      <c r="M26" s="321"/>
      <c r="N26"/>
      <c r="O26"/>
      <c r="P26"/>
      <c r="S26"/>
      <c r="T26"/>
      <c r="U26"/>
      <c r="AB26" s="457" t="str">
        <f t="shared" ref="AB26:AB32" si="2">C17</f>
        <v>Gödsel och kalk</v>
      </c>
      <c r="AC26" s="678">
        <f t="shared" ref="AC26:AC32" si="3">F17</f>
        <v>0</v>
      </c>
    </row>
    <row r="27" spans="1:29" s="91" customFormat="1" ht="17.399999999999999" customHeight="1" x14ac:dyDescent="0.3">
      <c r="A27" s="588"/>
      <c r="B27" s="949" t="s">
        <v>347</v>
      </c>
      <c r="C27" s="950"/>
      <c r="D27" s="950"/>
      <c r="E27" s="950"/>
      <c r="F27" s="325">
        <f>'Gårdens info'!$G$42*'Gårdens info'!$D$42/'Gårdens info'!$D$37*'Gårdens info'!D17</f>
        <v>0</v>
      </c>
      <c r="G27" s="304" t="s">
        <v>14</v>
      </c>
      <c r="H27" s="617">
        <f>IF('Gårdens info'!G17&gt;0,F27/'Gårdens info'!G17,0)</f>
        <v>0</v>
      </c>
      <c r="I27" s="304" t="s">
        <v>6</v>
      </c>
      <c r="J27" s="320">
        <f>F27*'Gårdens info'!D17</f>
        <v>0</v>
      </c>
      <c r="K27" s="304" t="s">
        <v>365</v>
      </c>
      <c r="L27" s="327"/>
      <c r="M27" s="321"/>
      <c r="N27" s="77"/>
      <c r="O27" s="77"/>
      <c r="P27" s="77"/>
      <c r="S27" s="77"/>
      <c r="T27" s="77"/>
      <c r="U27" s="77"/>
      <c r="AB27" s="457" t="str">
        <f t="shared" si="2"/>
        <v>IPM Växtskydd</v>
      </c>
      <c r="AC27" s="678">
        <f t="shared" si="3"/>
        <v>0</v>
      </c>
    </row>
    <row r="28" spans="1:29" s="91" customFormat="1" ht="21" customHeight="1" x14ac:dyDescent="0.4">
      <c r="A28" s="588"/>
      <c r="B28" s="932" t="s">
        <v>226</v>
      </c>
      <c r="C28" s="933"/>
      <c r="D28" s="933"/>
      <c r="E28" s="324"/>
      <c r="F28" s="328">
        <f>F24+F26+F27</f>
        <v>0</v>
      </c>
      <c r="G28" s="329" t="s">
        <v>14</v>
      </c>
      <c r="H28" s="618">
        <f>H24+H26+H27</f>
        <v>0</v>
      </c>
      <c r="I28" s="329" t="s">
        <v>6</v>
      </c>
      <c r="J28" s="331">
        <f>J24+J26+J27</f>
        <v>0</v>
      </c>
      <c r="K28" s="329" t="s">
        <v>365</v>
      </c>
      <c r="L28" s="329"/>
      <c r="M28" s="321"/>
      <c r="AB28" s="457" t="str">
        <f t="shared" si="2"/>
        <v>Packningsmaterial</v>
      </c>
      <c r="AC28" s="678">
        <f t="shared" si="3"/>
        <v>0</v>
      </c>
    </row>
    <row r="29" spans="1:29" s="91" customFormat="1" ht="21" x14ac:dyDescent="0.4">
      <c r="A29" s="588"/>
      <c r="B29" s="832"/>
      <c r="C29" s="833"/>
      <c r="D29" s="833"/>
      <c r="E29" s="324"/>
      <c r="F29" s="328"/>
      <c r="G29" s="329"/>
      <c r="H29" s="330"/>
      <c r="I29" s="329"/>
      <c r="J29" s="331"/>
      <c r="K29" s="329"/>
      <c r="L29" s="329"/>
      <c r="M29" s="321"/>
      <c r="AB29" s="457" t="str">
        <f t="shared" si="2"/>
        <v>Fraktkostnader</v>
      </c>
      <c r="AC29" s="678">
        <f t="shared" si="3"/>
        <v>0</v>
      </c>
    </row>
    <row r="30" spans="1:29" s="91" customFormat="1" ht="21" x14ac:dyDescent="0.4">
      <c r="A30" s="588"/>
      <c r="B30" s="319" t="s">
        <v>348</v>
      </c>
      <c r="C30" s="286"/>
      <c r="D30" s="148"/>
      <c r="E30" s="148"/>
      <c r="F30" s="148"/>
      <c r="G30" s="148"/>
      <c r="H30" s="148"/>
      <c r="I30" s="148"/>
      <c r="J30" s="293"/>
      <c r="K30" s="148"/>
      <c r="L30" s="148"/>
      <c r="M30" s="287"/>
      <c r="AB30" s="457" t="str">
        <f t="shared" si="2"/>
        <v>Maskinkostnader och entreprenad</v>
      </c>
      <c r="AC30" s="678">
        <f t="shared" si="3"/>
        <v>0</v>
      </c>
    </row>
    <row r="31" spans="1:29" s="91" customFormat="1" ht="21" customHeight="1" x14ac:dyDescent="0.4">
      <c r="A31" s="588"/>
      <c r="B31" s="947" t="s">
        <v>149</v>
      </c>
      <c r="C31" s="948"/>
      <c r="D31" s="833"/>
      <c r="E31" s="324"/>
      <c r="F31" s="328"/>
      <c r="G31" s="329"/>
      <c r="H31" s="330"/>
      <c r="I31" s="329"/>
      <c r="J31" s="331"/>
      <c r="K31" s="329"/>
      <c r="L31" s="329"/>
      <c r="M31" s="321"/>
      <c r="AB31" s="457" t="str">
        <f t="shared" si="2"/>
        <v>Energikostnader</v>
      </c>
      <c r="AC31" s="678">
        <f t="shared" si="3"/>
        <v>0</v>
      </c>
    </row>
    <row r="32" spans="1:29" s="91" customFormat="1" ht="21" x14ac:dyDescent="0.4">
      <c r="A32" s="588"/>
      <c r="B32" s="350"/>
      <c r="C32" s="838" t="s">
        <v>264</v>
      </c>
      <c r="D32" s="833"/>
      <c r="E32" s="324"/>
      <c r="F32" s="338">
        <f>IF('Gårdens info'!$D$17&gt;0,J32/'Gårdens info'!$D$17,0)</f>
        <v>0</v>
      </c>
      <c r="G32" s="151" t="s">
        <v>14</v>
      </c>
      <c r="H32" s="613">
        <f>IF('Gårdens info'!$G$17&gt;0,F32/'Gårdens info'!$G$17,0)</f>
        <v>0</v>
      </c>
      <c r="I32" s="151" t="s">
        <v>6</v>
      </c>
      <c r="J32" s="298">
        <f>Ägendom!AP22</f>
        <v>0</v>
      </c>
      <c r="K32" s="151" t="s">
        <v>365</v>
      </c>
      <c r="L32" s="329"/>
      <c r="M32" s="321"/>
      <c r="AB32" s="457" t="str">
        <f t="shared" si="2"/>
        <v>Anställd arbetskraft</v>
      </c>
      <c r="AC32" s="678">
        <f t="shared" si="3"/>
        <v>0</v>
      </c>
    </row>
    <row r="33" spans="1:29" s="236" customFormat="1" ht="21" x14ac:dyDescent="0.4">
      <c r="A33" s="589"/>
      <c r="B33" s="350"/>
      <c r="C33" s="838" t="s">
        <v>265</v>
      </c>
      <c r="D33" s="833"/>
      <c r="E33" s="324"/>
      <c r="F33" s="338">
        <f>IF('Gårdens info'!$D$17&gt;0,J33/'Gårdens info'!$D$17,0)</f>
        <v>0</v>
      </c>
      <c r="G33" s="151" t="s">
        <v>14</v>
      </c>
      <c r="H33" s="613">
        <f>IF('Gårdens info'!$G$17&gt;0,F33/'Gårdens info'!$G$17,0)</f>
        <v>0</v>
      </c>
      <c r="I33" s="151" t="s">
        <v>6</v>
      </c>
      <c r="J33" s="298">
        <f>Ägendom!BL22</f>
        <v>0</v>
      </c>
      <c r="K33" s="151" t="s">
        <v>365</v>
      </c>
      <c r="L33" s="329"/>
      <c r="M33" s="321"/>
      <c r="N33" s="91"/>
      <c r="O33" s="91"/>
      <c r="P33" s="91"/>
      <c r="S33" s="91"/>
      <c r="T33" s="91"/>
      <c r="U33" s="91"/>
      <c r="AB33" s="459" t="s">
        <v>17</v>
      </c>
      <c r="AC33" s="459">
        <f>F26</f>
        <v>0</v>
      </c>
    </row>
    <row r="34" spans="1:29" ht="17.399999999999999" customHeight="1" x14ac:dyDescent="0.3">
      <c r="B34" s="350"/>
      <c r="C34" s="941" t="s">
        <v>266</v>
      </c>
      <c r="D34" s="941"/>
      <c r="E34" s="324"/>
      <c r="F34" s="338">
        <f>IF('Gårdens info'!$D$17&gt;0,J34/'Gårdens info'!$D$17,0)</f>
        <v>0</v>
      </c>
      <c r="G34" s="151" t="s">
        <v>14</v>
      </c>
      <c r="H34" s="613">
        <f>IF('Gårdens info'!$G$17&gt;0,F34/'Gårdens info'!$G$17,0)</f>
        <v>0</v>
      </c>
      <c r="I34" s="151" t="s">
        <v>6</v>
      </c>
      <c r="J34" s="298">
        <f>Ägendom!CH22</f>
        <v>0</v>
      </c>
      <c r="K34" s="151" t="s">
        <v>365</v>
      </c>
      <c r="L34" s="329"/>
      <c r="M34" s="321"/>
      <c r="N34" s="91"/>
      <c r="O34" s="91"/>
      <c r="P34" s="91"/>
      <c r="S34" s="91"/>
      <c r="T34" s="91"/>
      <c r="U34" s="91"/>
      <c r="AB34" s="457" t="s">
        <v>51</v>
      </c>
      <c r="AC34" s="459">
        <f>F27</f>
        <v>0</v>
      </c>
    </row>
    <row r="35" spans="1:29" ht="21" x14ac:dyDescent="0.4">
      <c r="B35" s="350"/>
      <c r="C35" s="838" t="s">
        <v>267</v>
      </c>
      <c r="D35" s="833"/>
      <c r="E35" s="324"/>
      <c r="F35" s="338">
        <f>IF('Gårdens info'!$D$17&gt;0,J35/'Gårdens info'!$D$17,0)</f>
        <v>0</v>
      </c>
      <c r="G35" s="151" t="s">
        <v>14</v>
      </c>
      <c r="H35" s="613">
        <f>IF('Gårdens info'!$G$17&gt;0,F35/'Gårdens info'!$G$17,0)</f>
        <v>0</v>
      </c>
      <c r="I35" s="151" t="s">
        <v>6</v>
      </c>
      <c r="J35" s="298">
        <f>Ägendom!DD22</f>
        <v>0</v>
      </c>
      <c r="K35" s="151" t="s">
        <v>365</v>
      </c>
      <c r="L35" s="329"/>
      <c r="M35" s="321"/>
      <c r="N35" s="236"/>
      <c r="O35" s="236"/>
      <c r="P35" s="236"/>
      <c r="S35" s="236"/>
      <c r="T35" s="236"/>
      <c r="U35" s="236"/>
      <c r="AB35" s="457" t="s">
        <v>12</v>
      </c>
      <c r="AC35" s="460">
        <f>F36</f>
        <v>0</v>
      </c>
    </row>
    <row r="36" spans="1:29" ht="20.399999999999999" x14ac:dyDescent="0.35">
      <c r="B36" s="352"/>
      <c r="C36" s="340" t="s">
        <v>196</v>
      </c>
      <c r="D36" s="341"/>
      <c r="E36" s="324"/>
      <c r="F36" s="342">
        <f>SUM(F32:F35)</f>
        <v>0</v>
      </c>
      <c r="G36" s="151" t="s">
        <v>14</v>
      </c>
      <c r="H36" s="620">
        <f t="shared" ref="H36:J36" si="4">SUM(H32:H35)</f>
        <v>0</v>
      </c>
      <c r="I36" s="151" t="s">
        <v>6</v>
      </c>
      <c r="J36" s="342">
        <f t="shared" si="4"/>
        <v>0</v>
      </c>
      <c r="K36" s="151" t="s">
        <v>365</v>
      </c>
      <c r="L36" s="343"/>
      <c r="M36" s="321"/>
      <c r="AB36" s="457" t="s">
        <v>13</v>
      </c>
      <c r="AC36" s="461">
        <f>F43</f>
        <v>0</v>
      </c>
    </row>
    <row r="37" spans="1:29" s="91" customFormat="1" ht="21" x14ac:dyDescent="0.4">
      <c r="A37" s="588"/>
      <c r="B37" s="350"/>
      <c r="C37" s="838"/>
      <c r="D37" s="833"/>
      <c r="E37" s="324"/>
      <c r="F37" s="338"/>
      <c r="G37" s="151"/>
      <c r="H37" s="339"/>
      <c r="I37" s="151"/>
      <c r="J37" s="298"/>
      <c r="K37" s="151"/>
      <c r="L37" s="329"/>
      <c r="M37" s="321"/>
      <c r="N37"/>
      <c r="O37"/>
      <c r="P37"/>
      <c r="S37"/>
      <c r="T37"/>
      <c r="U37"/>
      <c r="AB37" s="457" t="s">
        <v>50</v>
      </c>
      <c r="AC37" s="461">
        <f>F50</f>
        <v>0</v>
      </c>
    </row>
    <row r="38" spans="1:29" s="91" customFormat="1" ht="17.399999999999999" customHeight="1" x14ac:dyDescent="0.3">
      <c r="A38" s="588"/>
      <c r="B38" s="947" t="s">
        <v>150</v>
      </c>
      <c r="C38" s="948"/>
      <c r="D38" s="948"/>
      <c r="E38" s="324"/>
      <c r="F38" s="338"/>
      <c r="G38" s="151"/>
      <c r="H38" s="339"/>
      <c r="I38" s="151"/>
      <c r="J38" s="298"/>
      <c r="K38" s="151"/>
      <c r="L38" s="329"/>
      <c r="M38" s="321"/>
      <c r="N38"/>
      <c r="O38"/>
      <c r="P38"/>
      <c r="S38"/>
      <c r="T38"/>
      <c r="U38"/>
      <c r="AB38" s="457" t="s">
        <v>23</v>
      </c>
      <c r="AC38" s="461">
        <f>F56</f>
        <v>0</v>
      </c>
    </row>
    <row r="39" spans="1:29" s="91" customFormat="1" ht="21" x14ac:dyDescent="0.4">
      <c r="A39" s="588"/>
      <c r="B39" s="350"/>
      <c r="C39" s="838" t="s">
        <v>264</v>
      </c>
      <c r="D39" s="833"/>
      <c r="E39" s="324"/>
      <c r="F39" s="338">
        <f>IF('Gårdens info'!$D$17&gt;0,J39/'Gårdens info'!$D$17,0)</f>
        <v>0</v>
      </c>
      <c r="G39" s="151" t="s">
        <v>14</v>
      </c>
      <c r="H39" s="613">
        <f>IF('Gårdens info'!$G$17&gt;0,F39/'Gårdens info'!$G$17,0)</f>
        <v>0</v>
      </c>
      <c r="I39" s="151" t="s">
        <v>6</v>
      </c>
      <c r="J39" s="298">
        <f>Ägendom!AP51</f>
        <v>0</v>
      </c>
      <c r="K39" s="151" t="s">
        <v>365</v>
      </c>
      <c r="L39" s="329"/>
      <c r="M39" s="321"/>
      <c r="AB39" s="457" t="s">
        <v>44</v>
      </c>
      <c r="AC39" s="459">
        <f>F62</f>
        <v>0</v>
      </c>
    </row>
    <row r="40" spans="1:29" s="8" customFormat="1" ht="21" x14ac:dyDescent="0.4">
      <c r="A40" s="586"/>
      <c r="B40" s="350"/>
      <c r="C40" s="838" t="s">
        <v>265</v>
      </c>
      <c r="D40" s="833"/>
      <c r="E40" s="324"/>
      <c r="F40" s="338">
        <f>IF('Gårdens info'!$D$17&gt;0,J40/'Gårdens info'!$D$17,0)</f>
        <v>0</v>
      </c>
      <c r="G40" s="151" t="s">
        <v>14</v>
      </c>
      <c r="H40" s="613">
        <f>IF('Gårdens info'!$G$17&gt;0,F40/'Gårdens info'!$G$17,0)</f>
        <v>0</v>
      </c>
      <c r="I40" s="151" t="s">
        <v>6</v>
      </c>
      <c r="J40" s="298">
        <f>Ägendom!BL51</f>
        <v>0</v>
      </c>
      <c r="K40" s="151" t="s">
        <v>365</v>
      </c>
      <c r="L40" s="329"/>
      <c r="M40" s="321"/>
      <c r="N40" s="91"/>
      <c r="O40" s="91"/>
      <c r="P40" s="91"/>
      <c r="Q40" s="91"/>
      <c r="R40" s="91"/>
      <c r="S40" s="91"/>
      <c r="T40" s="91"/>
      <c r="U40" s="91"/>
      <c r="AB40" s="679"/>
      <c r="AC40" s="679"/>
    </row>
    <row r="41" spans="1:29" s="8" customFormat="1" ht="17.399999999999999" customHeight="1" x14ac:dyDescent="0.3">
      <c r="A41" s="586"/>
      <c r="B41" s="350"/>
      <c r="C41" s="941" t="s">
        <v>266</v>
      </c>
      <c r="D41" s="941"/>
      <c r="E41" s="324"/>
      <c r="F41" s="338">
        <f>IF('Gårdens info'!$D$17&gt;0,J41/'Gårdens info'!$D$17,0)</f>
        <v>0</v>
      </c>
      <c r="G41" s="151" t="s">
        <v>14</v>
      </c>
      <c r="H41" s="613">
        <f>IF('Gårdens info'!$G$17&gt;0,F41/'Gårdens info'!$G$17,0)</f>
        <v>0</v>
      </c>
      <c r="I41" s="151" t="s">
        <v>6</v>
      </c>
      <c r="J41" s="298">
        <f>Ägendom!CH51</f>
        <v>0</v>
      </c>
      <c r="K41" s="151" t="s">
        <v>365</v>
      </c>
      <c r="L41" s="329"/>
      <c r="M41" s="321"/>
      <c r="N41" s="91"/>
      <c r="O41" s="91"/>
      <c r="P41" s="91"/>
      <c r="Q41" s="91"/>
      <c r="R41" s="91"/>
      <c r="S41" s="91"/>
      <c r="T41" s="91"/>
      <c r="U41" s="91"/>
    </row>
    <row r="42" spans="1:29" s="8" customFormat="1" ht="21" x14ac:dyDescent="0.4">
      <c r="A42" s="586"/>
      <c r="B42" s="350"/>
      <c r="C42" s="838" t="s">
        <v>267</v>
      </c>
      <c r="D42" s="833"/>
      <c r="E42" s="324"/>
      <c r="F42" s="338">
        <f>IF('Gårdens info'!$D$17&gt;0,J42/'Gårdens info'!$D$17,0)</f>
        <v>0</v>
      </c>
      <c r="G42" s="151" t="s">
        <v>14</v>
      </c>
      <c r="H42" s="613">
        <f>IF('Gårdens info'!$G$17&gt;0,F42/'Gårdens info'!$G$17,0)</f>
        <v>0</v>
      </c>
      <c r="I42" s="151" t="s">
        <v>6</v>
      </c>
      <c r="J42" s="298">
        <f>Ägendom!DD51</f>
        <v>0</v>
      </c>
      <c r="K42" s="151" t="s">
        <v>365</v>
      </c>
      <c r="L42" s="329"/>
      <c r="M42" s="321"/>
    </row>
    <row r="43" spans="1:29" s="8" customFormat="1" ht="20.399999999999999" x14ac:dyDescent="0.35">
      <c r="A43" s="586"/>
      <c r="B43" s="352"/>
      <c r="C43" s="340" t="s">
        <v>196</v>
      </c>
      <c r="D43" s="341"/>
      <c r="E43" s="324"/>
      <c r="F43" s="342">
        <f>SUM(F39:F42)</f>
        <v>0</v>
      </c>
      <c r="G43" s="151" t="s">
        <v>14</v>
      </c>
      <c r="H43" s="620">
        <f t="shared" ref="H43:J43" si="5">SUM(H39:H42)</f>
        <v>0</v>
      </c>
      <c r="I43" s="151" t="s">
        <v>6</v>
      </c>
      <c r="J43" s="342">
        <f t="shared" si="5"/>
        <v>0</v>
      </c>
      <c r="K43" s="151" t="s">
        <v>365</v>
      </c>
      <c r="L43" s="343"/>
      <c r="M43" s="321"/>
    </row>
    <row r="44" spans="1:29" s="8" customFormat="1" ht="21" x14ac:dyDescent="0.4">
      <c r="A44" s="586"/>
      <c r="B44" s="350"/>
      <c r="C44" s="838"/>
      <c r="D44" s="833"/>
      <c r="E44" s="324"/>
      <c r="F44" s="338"/>
      <c r="G44" s="151"/>
      <c r="H44" s="339"/>
      <c r="I44" s="151"/>
      <c r="J44" s="298"/>
      <c r="K44" s="151"/>
      <c r="L44" s="329"/>
      <c r="M44" s="321"/>
    </row>
    <row r="45" spans="1:29" s="8" customFormat="1" ht="43.05" customHeight="1" x14ac:dyDescent="0.3">
      <c r="A45" s="586"/>
      <c r="B45" s="947" t="s">
        <v>151</v>
      </c>
      <c r="C45" s="948"/>
      <c r="D45" s="948"/>
      <c r="E45" s="324"/>
      <c r="F45" s="338"/>
      <c r="G45" s="151"/>
      <c r="H45" s="339"/>
      <c r="I45" s="151"/>
      <c r="J45" s="298"/>
      <c r="K45" s="151"/>
      <c r="L45" s="329"/>
      <c r="M45" s="321"/>
    </row>
    <row r="46" spans="1:29" ht="21" x14ac:dyDescent="0.4">
      <c r="B46" s="350"/>
      <c r="C46" s="838" t="s">
        <v>264</v>
      </c>
      <c r="D46" s="833"/>
      <c r="E46" s="324"/>
      <c r="F46" s="338">
        <f>IF('Gårdens info'!$D$17&gt;0,J46/'Gårdens info'!$D$17,0)</f>
        <v>0</v>
      </c>
      <c r="G46" s="151" t="s">
        <v>14</v>
      </c>
      <c r="H46" s="613">
        <f>IF('Gårdens info'!$G$17&gt;0,F46/'Gårdens info'!$G$17,0)</f>
        <v>0</v>
      </c>
      <c r="I46" s="151" t="s">
        <v>6</v>
      </c>
      <c r="J46" s="298">
        <f>Ägendom!AP76</f>
        <v>0</v>
      </c>
      <c r="K46" s="151" t="s">
        <v>365</v>
      </c>
      <c r="L46" s="329"/>
      <c r="M46" s="321"/>
      <c r="N46" s="8"/>
      <c r="O46" s="8"/>
      <c r="P46" s="8"/>
      <c r="Q46" s="8"/>
      <c r="R46" s="8"/>
      <c r="S46" s="8"/>
      <c r="T46" s="8"/>
      <c r="U46" s="8"/>
    </row>
    <row r="47" spans="1:29" s="8" customFormat="1" ht="21" x14ac:dyDescent="0.4">
      <c r="A47" s="586"/>
      <c r="B47" s="350"/>
      <c r="C47" s="838" t="s">
        <v>265</v>
      </c>
      <c r="D47" s="833"/>
      <c r="E47" s="324"/>
      <c r="F47" s="338">
        <f>IF('Gårdens info'!$D$17&gt;0,J47/'Gårdens info'!$D$17,0)</f>
        <v>0</v>
      </c>
      <c r="G47" s="151" t="s">
        <v>14</v>
      </c>
      <c r="H47" s="613">
        <f>IF('Gårdens info'!$G$17&gt;0,F47/'Gårdens info'!$G$17,0)</f>
        <v>0</v>
      </c>
      <c r="I47" s="151" t="s">
        <v>6</v>
      </c>
      <c r="J47" s="298">
        <f>Ägendom!BL76</f>
        <v>0</v>
      </c>
      <c r="K47" s="151" t="s">
        <v>365</v>
      </c>
      <c r="L47" s="329"/>
      <c r="M47" s="321"/>
    </row>
    <row r="48" spans="1:29" s="8" customFormat="1" ht="17.399999999999999" customHeight="1" x14ac:dyDescent="0.3">
      <c r="A48" s="586"/>
      <c r="B48" s="350"/>
      <c r="C48" s="941" t="s">
        <v>266</v>
      </c>
      <c r="D48" s="941"/>
      <c r="E48" s="324"/>
      <c r="F48" s="338">
        <f>IF('Gårdens info'!$D$17&gt;0,J48/'Gårdens info'!$D$17,0)</f>
        <v>0</v>
      </c>
      <c r="G48" s="151" t="s">
        <v>14</v>
      </c>
      <c r="H48" s="613">
        <f>IF('Gårdens info'!$G$17&gt;0,F48/'Gårdens info'!$G$17,0)</f>
        <v>0</v>
      </c>
      <c r="I48" s="151" t="s">
        <v>6</v>
      </c>
      <c r="J48" s="298">
        <f>Ägendom!CH76</f>
        <v>0</v>
      </c>
      <c r="K48" s="151" t="s">
        <v>365</v>
      </c>
      <c r="L48" s="329"/>
      <c r="M48" s="321"/>
      <c r="N48"/>
      <c r="O48"/>
      <c r="P48"/>
      <c r="Q48"/>
      <c r="R48"/>
      <c r="S48"/>
      <c r="T48"/>
      <c r="U48"/>
    </row>
    <row r="49" spans="1:13" s="8" customFormat="1" ht="21" x14ac:dyDescent="0.4">
      <c r="A49" s="586"/>
      <c r="B49" s="350"/>
      <c r="C49" s="838" t="s">
        <v>267</v>
      </c>
      <c r="D49" s="833"/>
      <c r="E49" s="324"/>
      <c r="F49" s="338">
        <f>IF('Gårdens info'!$D$17&gt;0,J49/'Gårdens info'!$D$17,0)</f>
        <v>0</v>
      </c>
      <c r="G49" s="151" t="s">
        <v>14</v>
      </c>
      <c r="H49" s="613">
        <f>IF('Gårdens info'!$G$17&gt;0,F49/'Gårdens info'!$G$17,0)</f>
        <v>0</v>
      </c>
      <c r="I49" s="151" t="s">
        <v>6</v>
      </c>
      <c r="J49" s="298">
        <f>Ägendom!DD76</f>
        <v>0</v>
      </c>
      <c r="K49" s="151" t="s">
        <v>365</v>
      </c>
      <c r="L49" s="329"/>
      <c r="M49" s="321"/>
    </row>
    <row r="50" spans="1:13" s="8" customFormat="1" ht="20.399999999999999" x14ac:dyDescent="0.35">
      <c r="A50" s="586"/>
      <c r="B50" s="352"/>
      <c r="C50" s="340" t="s">
        <v>196</v>
      </c>
      <c r="D50" s="341"/>
      <c r="E50" s="324"/>
      <c r="F50" s="342">
        <f>SUM(F46:F49)</f>
        <v>0</v>
      </c>
      <c r="G50" s="151" t="s">
        <v>14</v>
      </c>
      <c r="H50" s="620">
        <f t="shared" ref="H50:J50" si="6">SUM(H46:H49)</f>
        <v>0</v>
      </c>
      <c r="I50" s="151" t="s">
        <v>6</v>
      </c>
      <c r="J50" s="342">
        <f t="shared" si="6"/>
        <v>0</v>
      </c>
      <c r="K50" s="151" t="s">
        <v>365</v>
      </c>
      <c r="L50" s="343"/>
      <c r="M50" s="321"/>
    </row>
    <row r="51" spans="1:13" s="8" customFormat="1" ht="21" x14ac:dyDescent="0.4">
      <c r="A51" s="586"/>
      <c r="B51" s="350"/>
      <c r="C51" s="838"/>
      <c r="D51" s="833"/>
      <c r="E51" s="324"/>
      <c r="F51" s="338"/>
      <c r="G51" s="151"/>
      <c r="H51" s="339"/>
      <c r="I51" s="151"/>
      <c r="J51" s="298"/>
      <c r="K51" s="151"/>
      <c r="L51" s="329"/>
      <c r="M51" s="321"/>
    </row>
    <row r="52" spans="1:13" s="8" customFormat="1" ht="21" customHeight="1" x14ac:dyDescent="0.4">
      <c r="A52" s="586"/>
      <c r="B52" s="951" t="s">
        <v>160</v>
      </c>
      <c r="C52" s="952"/>
      <c r="D52" s="833"/>
      <c r="E52" s="324"/>
      <c r="F52" s="338"/>
      <c r="G52" s="151"/>
      <c r="H52" s="339"/>
      <c r="I52" s="151"/>
      <c r="J52" s="298"/>
      <c r="K52" s="151"/>
      <c r="L52" s="329"/>
      <c r="M52" s="321"/>
    </row>
    <row r="53" spans="1:13" s="8" customFormat="1" ht="21" x14ac:dyDescent="0.4">
      <c r="A53" s="586"/>
      <c r="B53" s="350"/>
      <c r="C53" s="838" t="s">
        <v>264</v>
      </c>
      <c r="D53" s="833"/>
      <c r="E53" s="324"/>
      <c r="F53" s="338">
        <f>IF('Gårdens info'!$D$17&gt;0,J53/'Gårdens info'!$D$17,0)</f>
        <v>0</v>
      </c>
      <c r="G53" s="151" t="s">
        <v>14</v>
      </c>
      <c r="H53" s="613">
        <f>IF('Gårdens info'!$G$17&gt;0,F53/'Gårdens info'!$G$17,0)</f>
        <v>0</v>
      </c>
      <c r="I53" s="151" t="s">
        <v>6</v>
      </c>
      <c r="J53" s="298">
        <f>Ägendom!AP79</f>
        <v>0</v>
      </c>
      <c r="K53" s="151" t="s">
        <v>365</v>
      </c>
      <c r="L53" s="329"/>
      <c r="M53" s="321"/>
    </row>
    <row r="54" spans="1:13" s="8" customFormat="1" ht="19.95" customHeight="1" x14ac:dyDescent="0.4">
      <c r="A54" s="586"/>
      <c r="B54" s="350"/>
      <c r="C54" s="838" t="s">
        <v>265</v>
      </c>
      <c r="D54" s="833"/>
      <c r="E54" s="324"/>
      <c r="F54" s="338">
        <f>IF('Gårdens info'!$D$17&gt;0,J54/'Gårdens info'!$D$17,0)</f>
        <v>0</v>
      </c>
      <c r="G54" s="151" t="s">
        <v>14</v>
      </c>
      <c r="H54" s="613">
        <f>IF('Gårdens info'!$G$17&gt;0,F54/'Gårdens info'!$G$17,0)</f>
        <v>0</v>
      </c>
      <c r="I54" s="151" t="s">
        <v>6</v>
      </c>
      <c r="J54" s="298">
        <f>Ägendom!BL79</f>
        <v>0</v>
      </c>
      <c r="K54" s="151" t="s">
        <v>365</v>
      </c>
      <c r="L54" s="329"/>
      <c r="M54" s="321"/>
    </row>
    <row r="55" spans="1:13" s="8" customFormat="1" ht="17.399999999999999" customHeight="1" x14ac:dyDescent="0.3">
      <c r="A55" s="586"/>
      <c r="B55" s="350"/>
      <c r="C55" s="941" t="s">
        <v>266</v>
      </c>
      <c r="D55" s="941"/>
      <c r="E55" s="324"/>
      <c r="F55" s="338">
        <f>IF('Gårdens info'!$D$17&gt;0,J55/'Gårdens info'!$D$17,0)</f>
        <v>0</v>
      </c>
      <c r="G55" s="151" t="s">
        <v>14</v>
      </c>
      <c r="H55" s="613">
        <f>IF('Gårdens info'!$G$17&gt;0,F55/'Gårdens info'!$G$17,0)</f>
        <v>0</v>
      </c>
      <c r="I55" s="151" t="s">
        <v>6</v>
      </c>
      <c r="J55" s="298">
        <f>Ägendom!CH79</f>
        <v>0</v>
      </c>
      <c r="K55" s="151" t="s">
        <v>365</v>
      </c>
      <c r="L55" s="329"/>
      <c r="M55" s="321"/>
    </row>
    <row r="56" spans="1:13" s="8" customFormat="1" ht="15.6" x14ac:dyDescent="0.3">
      <c r="A56" s="586"/>
      <c r="B56" s="349"/>
      <c r="C56" s="323" t="s">
        <v>196</v>
      </c>
      <c r="D56" s="323"/>
      <c r="E56" s="323"/>
      <c r="F56" s="342">
        <f>SUM(F53:F55)</f>
        <v>0</v>
      </c>
      <c r="G56" s="151" t="s">
        <v>14</v>
      </c>
      <c r="H56" s="620">
        <f t="shared" ref="H56:J56" si="7">SUM(H53:H55)</f>
        <v>0</v>
      </c>
      <c r="I56" s="151" t="s">
        <v>6</v>
      </c>
      <c r="J56" s="342">
        <f t="shared" si="7"/>
        <v>0</v>
      </c>
      <c r="K56" s="151" t="s">
        <v>365</v>
      </c>
      <c r="L56" s="347"/>
      <c r="M56" s="353"/>
    </row>
    <row r="57" spans="1:13" s="8" customFormat="1" ht="21" customHeight="1" x14ac:dyDescent="0.4">
      <c r="A57" s="586"/>
      <c r="B57" s="932" t="s">
        <v>229</v>
      </c>
      <c r="C57" s="933"/>
      <c r="D57" s="933"/>
      <c r="E57" s="324"/>
      <c r="F57" s="328">
        <f>F36+F43+F50+F56</f>
        <v>0</v>
      </c>
      <c r="G57" s="329" t="s">
        <v>14</v>
      </c>
      <c r="H57" s="618">
        <f>H36+H43+H50+H56</f>
        <v>0</v>
      </c>
      <c r="I57" s="329" t="s">
        <v>6</v>
      </c>
      <c r="J57" s="331">
        <f>J36+J43+J50+J56</f>
        <v>0</v>
      </c>
      <c r="K57" s="329" t="s">
        <v>365</v>
      </c>
      <c r="L57" s="329"/>
      <c r="M57" s="321"/>
    </row>
    <row r="58" spans="1:13" s="8" customFormat="1" ht="15.6" x14ac:dyDescent="0.3">
      <c r="A58" s="586"/>
      <c r="B58" s="349"/>
      <c r="C58" s="324"/>
      <c r="D58" s="324"/>
      <c r="E58" s="324"/>
      <c r="F58" s="325"/>
      <c r="G58" s="304"/>
      <c r="H58" s="326"/>
      <c r="I58" s="304"/>
      <c r="J58" s="320"/>
      <c r="K58" s="304"/>
      <c r="L58" s="327"/>
      <c r="M58" s="321"/>
    </row>
    <row r="59" spans="1:13" s="8" customFormat="1" ht="21" x14ac:dyDescent="0.4">
      <c r="A59" s="586"/>
      <c r="B59" s="319" t="s">
        <v>230</v>
      </c>
      <c r="C59" s="324"/>
      <c r="D59" s="324"/>
      <c r="E59" s="324"/>
      <c r="F59" s="325"/>
      <c r="G59" s="304"/>
      <c r="H59" s="326"/>
      <c r="I59" s="304"/>
      <c r="J59" s="320"/>
      <c r="K59" s="304"/>
      <c r="L59" s="327"/>
      <c r="M59" s="321"/>
    </row>
    <row r="60" spans="1:13" s="8" customFormat="1" ht="15" x14ac:dyDescent="0.25">
      <c r="A60" s="586"/>
      <c r="B60" s="296"/>
      <c r="C60" s="289" t="s">
        <v>230</v>
      </c>
      <c r="D60" s="297"/>
      <c r="E60" s="297"/>
      <c r="F60" s="298">
        <f>IF('Gårdens info'!D17&gt;0,H169,0)</f>
        <v>0</v>
      </c>
      <c r="G60" s="151" t="s">
        <v>14</v>
      </c>
      <c r="H60" s="614">
        <f>IF('Gårdens info'!G17&gt;0,F60/'Gårdens info'!$G$17,0)</f>
        <v>0</v>
      </c>
      <c r="I60" s="151" t="s">
        <v>6</v>
      </c>
      <c r="J60" s="298">
        <f>F60*'Gårdens info'!D17</f>
        <v>0</v>
      </c>
      <c r="K60" s="151" t="s">
        <v>365</v>
      </c>
      <c r="L60" s="297"/>
      <c r="M60" s="300"/>
    </row>
    <row r="61" spans="1:13" s="8" customFormat="1" ht="17.399999999999999" x14ac:dyDescent="0.3">
      <c r="A61" s="586"/>
      <c r="B61" s="841"/>
      <c r="C61" s="306"/>
      <c r="D61" s="310"/>
      <c r="E61" s="310"/>
      <c r="F61" s="311"/>
      <c r="G61" s="153"/>
      <c r="H61" s="310"/>
      <c r="I61" s="310"/>
      <c r="J61" s="310"/>
      <c r="K61" s="310"/>
      <c r="L61" s="310"/>
      <c r="M61" s="295"/>
    </row>
    <row r="62" spans="1:13" s="8" customFormat="1" ht="21" customHeight="1" x14ac:dyDescent="0.4">
      <c r="A62" s="586"/>
      <c r="B62" s="932" t="s">
        <v>231</v>
      </c>
      <c r="C62" s="933"/>
      <c r="D62" s="933"/>
      <c r="E62" s="324"/>
      <c r="F62" s="328">
        <f>F60</f>
        <v>0</v>
      </c>
      <c r="G62" s="329" t="s">
        <v>14</v>
      </c>
      <c r="H62" s="618">
        <f>H60</f>
        <v>0</v>
      </c>
      <c r="I62" s="329" t="s">
        <v>6</v>
      </c>
      <c r="J62" s="331">
        <f>J60</f>
        <v>0</v>
      </c>
      <c r="K62" s="329" t="s">
        <v>365</v>
      </c>
      <c r="L62" s="329"/>
      <c r="M62" s="321"/>
    </row>
    <row r="63" spans="1:13" s="8" customFormat="1" ht="21" x14ac:dyDescent="0.4">
      <c r="A63" s="586"/>
      <c r="B63" s="832"/>
      <c r="C63" s="833"/>
      <c r="D63" s="833"/>
      <c r="E63" s="324"/>
      <c r="F63" s="328"/>
      <c r="G63" s="329"/>
      <c r="H63" s="618"/>
      <c r="I63" s="329"/>
      <c r="J63" s="331"/>
      <c r="K63" s="329"/>
      <c r="L63" s="329"/>
      <c r="M63" s="321"/>
    </row>
    <row r="64" spans="1:13" s="8" customFormat="1" ht="21" customHeight="1" x14ac:dyDescent="0.4">
      <c r="A64" s="586"/>
      <c r="B64" s="932" t="s">
        <v>268</v>
      </c>
      <c r="C64" s="933"/>
      <c r="D64" s="933"/>
      <c r="E64" s="324"/>
      <c r="F64" s="328">
        <f>F28+F57+F62</f>
        <v>0</v>
      </c>
      <c r="G64" s="329" t="s">
        <v>14</v>
      </c>
      <c r="H64" s="705">
        <f>H28+H57+H62</f>
        <v>0</v>
      </c>
      <c r="I64" s="329" t="s">
        <v>6</v>
      </c>
      <c r="J64" s="328">
        <f>J28+J57+J62</f>
        <v>0</v>
      </c>
      <c r="K64" s="329" t="s">
        <v>365</v>
      </c>
      <c r="L64" s="329"/>
      <c r="M64" s="321"/>
    </row>
    <row r="65" spans="1:21" s="8" customFormat="1" ht="21" x14ac:dyDescent="0.4">
      <c r="A65" s="586"/>
      <c r="B65" s="832"/>
      <c r="C65" s="833"/>
      <c r="D65" s="833"/>
      <c r="E65" s="324"/>
      <c r="F65" s="328"/>
      <c r="G65" s="329"/>
      <c r="H65" s="330"/>
      <c r="I65" s="329"/>
      <c r="J65" s="331"/>
      <c r="K65" s="329"/>
      <c r="L65" s="329"/>
      <c r="M65" s="321"/>
    </row>
    <row r="66" spans="1:21" s="8" customFormat="1" ht="21.6" customHeight="1" thickBot="1" x14ac:dyDescent="0.45">
      <c r="A66" s="586"/>
      <c r="B66" s="936" t="s">
        <v>269</v>
      </c>
      <c r="C66" s="937"/>
      <c r="D66" s="937"/>
      <c r="E66" s="315"/>
      <c r="F66" s="355">
        <f>F11-F28-F57-F62</f>
        <v>0</v>
      </c>
      <c r="G66" s="356" t="s">
        <v>14</v>
      </c>
      <c r="H66" s="621">
        <f>H11-H28-H57-H62</f>
        <v>0</v>
      </c>
      <c r="I66" s="356" t="s">
        <v>6</v>
      </c>
      <c r="J66" s="355">
        <f>J11-J28-J57-J62</f>
        <v>0</v>
      </c>
      <c r="K66" s="853" t="s">
        <v>365</v>
      </c>
      <c r="L66" s="356"/>
      <c r="M66" s="316"/>
    </row>
    <row r="67" spans="1:21" s="8" customFormat="1" ht="21" x14ac:dyDescent="0.4">
      <c r="A67" s="586"/>
      <c r="B67" s="76"/>
      <c r="C67"/>
      <c r="D67"/>
      <c r="E67"/>
      <c r="F67"/>
      <c r="G67"/>
      <c r="H67"/>
      <c r="I67"/>
      <c r="J67"/>
      <c r="K67"/>
      <c r="L67"/>
      <c r="M67"/>
    </row>
    <row r="68" spans="1:21" s="239" customFormat="1" ht="16.2" thickBot="1" x14ac:dyDescent="0.35">
      <c r="A68" s="590"/>
      <c r="B68"/>
      <c r="C68"/>
      <c r="D68"/>
      <c r="E68"/>
      <c r="F68"/>
      <c r="G68"/>
      <c r="H68"/>
      <c r="I68"/>
      <c r="J68"/>
      <c r="K68"/>
      <c r="L68"/>
      <c r="M68"/>
      <c r="N68" s="8"/>
      <c r="O68" s="8"/>
      <c r="P68" s="8"/>
      <c r="Q68" s="8"/>
      <c r="R68" s="8"/>
      <c r="S68" s="8"/>
      <c r="T68" s="8"/>
      <c r="U68" s="8"/>
    </row>
    <row r="69" spans="1:21" s="8" customFormat="1" ht="21.6" thickBot="1" x14ac:dyDescent="0.45">
      <c r="A69" s="586"/>
      <c r="B69" s="953" t="s">
        <v>368</v>
      </c>
      <c r="C69" s="954"/>
      <c r="D69" s="954"/>
      <c r="E69" s="955"/>
      <c r="F69"/>
      <c r="G69"/>
      <c r="H69"/>
      <c r="I69"/>
      <c r="J69"/>
      <c r="K69"/>
      <c r="L69" s="956" t="s">
        <v>271</v>
      </c>
      <c r="M69" s="956"/>
    </row>
    <row r="70" spans="1:21" s="8" customFormat="1" ht="21" x14ac:dyDescent="0.4">
      <c r="A70" s="586"/>
      <c r="B70" s="758"/>
      <c r="C70" s="758"/>
      <c r="D70" s="758"/>
      <c r="E70" s="758"/>
      <c r="F70" s="534"/>
      <c r="G70" s="534"/>
      <c r="H70" s="534"/>
      <c r="I70" s="534"/>
      <c r="J70" s="534"/>
      <c r="K70" s="534"/>
      <c r="L70" s="761"/>
      <c r="M70" s="761"/>
    </row>
    <row r="71" spans="1:21" ht="15.6" x14ac:dyDescent="0.3">
      <c r="B71" s="113" t="s">
        <v>356</v>
      </c>
      <c r="C71" s="65"/>
      <c r="D71" s="65"/>
      <c r="E71" s="65"/>
      <c r="F71" s="959" t="s">
        <v>159</v>
      </c>
      <c r="G71" s="959"/>
      <c r="H71" s="959" t="s">
        <v>158</v>
      </c>
      <c r="I71" s="959"/>
      <c r="J71" s="959" t="s">
        <v>273</v>
      </c>
      <c r="K71" s="959"/>
      <c r="L71" s="143" t="s">
        <v>274</v>
      </c>
      <c r="M71" s="67"/>
    </row>
    <row r="72" spans="1:21" ht="13.8" thickBot="1" x14ac:dyDescent="0.3">
      <c r="B72" s="69"/>
      <c r="C72" s="65"/>
      <c r="D72" s="65"/>
      <c r="E72" s="65"/>
      <c r="F72" s="65"/>
      <c r="G72" s="65"/>
      <c r="H72" s="65"/>
      <c r="I72" s="65"/>
      <c r="J72" s="67"/>
      <c r="K72" s="67"/>
      <c r="L72" s="67"/>
      <c r="M72" s="67"/>
    </row>
    <row r="73" spans="1:21" ht="13.8" thickBot="1" x14ac:dyDescent="0.3">
      <c r="B73" s="65"/>
      <c r="C73" s="66" t="s">
        <v>328</v>
      </c>
      <c r="D73" s="67"/>
      <c r="E73" s="65"/>
      <c r="F73" s="96">
        <v>30000</v>
      </c>
      <c r="G73" s="65" t="s">
        <v>327</v>
      </c>
      <c r="H73" s="96">
        <v>4.4999999999999998E-2</v>
      </c>
      <c r="I73" s="70" t="s">
        <v>152</v>
      </c>
      <c r="J73" s="235">
        <f>F73*H73</f>
        <v>1350</v>
      </c>
      <c r="K73" s="65" t="s">
        <v>14</v>
      </c>
      <c r="L73" s="65"/>
      <c r="M73" s="67"/>
    </row>
    <row r="74" spans="1:21" s="8" customFormat="1" x14ac:dyDescent="0.25">
      <c r="A74" s="586"/>
      <c r="B74" s="71"/>
      <c r="C74" s="71" t="s">
        <v>196</v>
      </c>
      <c r="D74" s="572"/>
      <c r="E74" s="71"/>
      <c r="F74" s="277"/>
      <c r="G74" s="573"/>
      <c r="H74" s="574"/>
      <c r="I74" s="279"/>
      <c r="J74" s="280"/>
      <c r="K74" s="71"/>
      <c r="L74" s="71"/>
      <c r="M74" s="71"/>
    </row>
    <row r="75" spans="1:21" x14ac:dyDescent="0.25">
      <c r="B75" s="535"/>
      <c r="C75" s="535"/>
      <c r="D75" s="569"/>
      <c r="E75" s="535"/>
      <c r="F75" s="570"/>
      <c r="G75" s="535"/>
      <c r="H75" s="307"/>
      <c r="I75" s="537"/>
      <c r="J75" s="571"/>
      <c r="K75" s="535"/>
      <c r="L75" s="534"/>
      <c r="M75" s="534"/>
    </row>
    <row r="76" spans="1:21" s="8" customFormat="1" ht="15.6" x14ac:dyDescent="0.3">
      <c r="A76" s="586"/>
      <c r="B76" s="120" t="s">
        <v>275</v>
      </c>
      <c r="C76" s="121"/>
      <c r="D76" s="121"/>
      <c r="E76" s="121"/>
      <c r="F76" s="960" t="s">
        <v>159</v>
      </c>
      <c r="G76" s="960"/>
      <c r="H76" s="960" t="s">
        <v>158</v>
      </c>
      <c r="I76" s="960"/>
      <c r="J76" s="960" t="s">
        <v>273</v>
      </c>
      <c r="K76" s="960"/>
      <c r="L76" s="123"/>
      <c r="M76" s="123"/>
    </row>
    <row r="77" spans="1:21" s="77" customFormat="1" ht="18" thickBot="1" x14ac:dyDescent="0.35">
      <c r="A77" s="587"/>
      <c r="B77" s="121"/>
      <c r="C77" s="121"/>
      <c r="D77" s="121"/>
      <c r="E77" s="121"/>
      <c r="F77" s="121"/>
      <c r="G77" s="121"/>
      <c r="H77" s="122"/>
      <c r="I77" s="122"/>
      <c r="J77" s="123"/>
      <c r="K77" s="123"/>
      <c r="L77" s="123"/>
      <c r="M77" s="123"/>
      <c r="N77" s="8"/>
      <c r="O77" s="8"/>
      <c r="P77" s="8"/>
      <c r="Q77" s="8"/>
      <c r="R77" s="8"/>
      <c r="S77" s="8"/>
      <c r="T77" s="8"/>
      <c r="U77" s="8"/>
    </row>
    <row r="78" spans="1:21" s="91" customFormat="1" ht="15.6" thickBot="1" x14ac:dyDescent="0.3">
      <c r="A78" s="588"/>
      <c r="B78" s="121"/>
      <c r="C78" s="121" t="s">
        <v>281</v>
      </c>
      <c r="D78" s="123"/>
      <c r="E78" s="121"/>
      <c r="F78" s="118">
        <v>800</v>
      </c>
      <c r="G78" s="121" t="s">
        <v>21</v>
      </c>
      <c r="H78" s="99">
        <v>0.75</v>
      </c>
      <c r="I78" s="122" t="s">
        <v>6</v>
      </c>
      <c r="J78" s="124">
        <f>F78*H78</f>
        <v>600</v>
      </c>
      <c r="K78" s="121" t="s">
        <v>14</v>
      </c>
      <c r="L78" s="123"/>
      <c r="M78" s="123"/>
      <c r="N78" s="8"/>
      <c r="O78" s="8"/>
      <c r="P78" s="8"/>
      <c r="Q78" s="8"/>
      <c r="R78" s="8"/>
      <c r="S78" s="8"/>
      <c r="T78" s="8"/>
      <c r="U78" s="8"/>
    </row>
    <row r="79" spans="1:21" s="77" customFormat="1" ht="18" thickBot="1" x14ac:dyDescent="0.35">
      <c r="A79" s="587"/>
      <c r="B79" s="121"/>
      <c r="C79" s="121" t="s">
        <v>278</v>
      </c>
      <c r="D79" s="123"/>
      <c r="E79" s="121"/>
      <c r="F79" s="96">
        <v>500</v>
      </c>
      <c r="G79" s="121" t="s">
        <v>21</v>
      </c>
      <c r="H79" s="99">
        <v>0.4</v>
      </c>
      <c r="I79" s="122" t="s">
        <v>6</v>
      </c>
      <c r="J79" s="124">
        <f t="shared" ref="J79:J82" si="8">F79*H79</f>
        <v>200</v>
      </c>
      <c r="K79" s="121" t="s">
        <v>14</v>
      </c>
      <c r="L79" s="123"/>
      <c r="M79" s="123"/>
      <c r="N79" s="91"/>
      <c r="O79" s="91"/>
      <c r="P79" s="91"/>
      <c r="Q79" s="91"/>
      <c r="R79" s="91"/>
      <c r="S79" s="91"/>
      <c r="T79" s="91"/>
      <c r="U79" s="91"/>
    </row>
    <row r="80" spans="1:21" s="91" customFormat="1" ht="15.6" thickBot="1" x14ac:dyDescent="0.3">
      <c r="A80" s="588"/>
      <c r="B80" s="121"/>
      <c r="C80" s="121" t="s">
        <v>279</v>
      </c>
      <c r="D80" s="123"/>
      <c r="E80" s="121"/>
      <c r="F80" s="96">
        <v>2000</v>
      </c>
      <c r="G80" s="121" t="s">
        <v>21</v>
      </c>
      <c r="H80" s="99">
        <v>0.46</v>
      </c>
      <c r="I80" s="122" t="s">
        <v>6</v>
      </c>
      <c r="J80" s="124">
        <f t="shared" si="8"/>
        <v>920</v>
      </c>
      <c r="K80" s="121" t="s">
        <v>14</v>
      </c>
      <c r="L80" s="123"/>
      <c r="M80" s="123"/>
      <c r="N80" s="8"/>
      <c r="O80" s="8"/>
      <c r="P80" s="8"/>
      <c r="Q80" s="8"/>
      <c r="R80" s="8"/>
      <c r="S80" s="8"/>
      <c r="T80" s="8"/>
      <c r="U80" s="8"/>
    </row>
    <row r="81" spans="1:21" s="77" customFormat="1" ht="18" thickBot="1" x14ac:dyDescent="0.35">
      <c r="A81" s="587"/>
      <c r="B81" s="121"/>
      <c r="C81" s="121" t="s">
        <v>280</v>
      </c>
      <c r="D81" s="121"/>
      <c r="E81" s="121"/>
      <c r="F81" s="96"/>
      <c r="G81" s="121" t="s">
        <v>21</v>
      </c>
      <c r="H81" s="99"/>
      <c r="I81" s="122" t="s">
        <v>6</v>
      </c>
      <c r="J81" s="124">
        <f t="shared" si="8"/>
        <v>0</v>
      </c>
      <c r="K81" s="121" t="s">
        <v>14</v>
      </c>
      <c r="L81" s="123"/>
      <c r="M81" s="123"/>
    </row>
    <row r="82" spans="1:21" ht="15.6" thickBot="1" x14ac:dyDescent="0.3">
      <c r="B82" s="121"/>
      <c r="C82" s="121" t="s">
        <v>280</v>
      </c>
      <c r="D82" s="121"/>
      <c r="E82" s="121"/>
      <c r="F82" s="96"/>
      <c r="G82" s="121" t="s">
        <v>21</v>
      </c>
      <c r="H82" s="99"/>
      <c r="I82" s="122" t="s">
        <v>6</v>
      </c>
      <c r="J82" s="124">
        <f t="shared" si="8"/>
        <v>0</v>
      </c>
      <c r="K82" s="121" t="s">
        <v>14</v>
      </c>
      <c r="L82" s="123"/>
      <c r="M82" s="123"/>
      <c r="N82" s="91"/>
      <c r="O82" s="91"/>
      <c r="P82" s="91"/>
      <c r="Q82" s="91"/>
      <c r="R82" s="91"/>
      <c r="S82" s="91"/>
      <c r="T82" s="91"/>
      <c r="U82" s="91"/>
    </row>
    <row r="83" spans="1:21" s="91" customFormat="1" ht="17.399999999999999" x14ac:dyDescent="0.3">
      <c r="A83" s="588"/>
      <c r="B83" s="270"/>
      <c r="C83" s="270" t="s">
        <v>222</v>
      </c>
      <c r="D83" s="270"/>
      <c r="E83" s="270"/>
      <c r="F83" s="270"/>
      <c r="G83" s="270"/>
      <c r="H83" s="270"/>
      <c r="I83" s="271"/>
      <c r="J83" s="272">
        <f>SUM(J78:J82)</f>
        <v>1720</v>
      </c>
      <c r="K83" s="270" t="s">
        <v>14</v>
      </c>
      <c r="L83" s="270"/>
      <c r="M83" s="270"/>
      <c r="N83" s="77"/>
      <c r="O83" s="77"/>
      <c r="P83" s="77"/>
      <c r="Q83" s="77"/>
      <c r="R83" s="77"/>
      <c r="S83" s="77"/>
      <c r="T83" s="77"/>
      <c r="U83" s="77"/>
    </row>
    <row r="84" spans="1:21" s="8" customFormat="1" x14ac:dyDescent="0.25">
      <c r="A84" s="586"/>
      <c r="B84" s="121"/>
      <c r="C84" s="121"/>
      <c r="D84" s="121"/>
      <c r="E84" s="121"/>
      <c r="F84" s="121"/>
      <c r="G84" s="121"/>
      <c r="H84" s="121"/>
      <c r="I84" s="122"/>
      <c r="J84" s="124"/>
      <c r="K84" s="121"/>
      <c r="L84" s="123"/>
      <c r="M84" s="123"/>
      <c r="N84"/>
      <c r="O84"/>
      <c r="P84"/>
      <c r="Q84"/>
      <c r="R84"/>
      <c r="S84"/>
      <c r="T84"/>
      <c r="U84"/>
    </row>
    <row r="85" spans="1:21" s="8" customFormat="1" ht="15" x14ac:dyDescent="0.25">
      <c r="A85" s="586"/>
      <c r="B85"/>
      <c r="C85"/>
      <c r="D85"/>
      <c r="E85"/>
      <c r="F85"/>
      <c r="G85"/>
      <c r="H85"/>
      <c r="I85"/>
      <c r="J85"/>
      <c r="K85"/>
      <c r="L85"/>
      <c r="M85"/>
      <c r="N85" s="91"/>
      <c r="O85" s="91"/>
      <c r="P85" s="91"/>
      <c r="Q85" s="91"/>
      <c r="R85" s="91"/>
      <c r="S85" s="91"/>
      <c r="T85" s="91"/>
      <c r="U85" s="91"/>
    </row>
    <row r="86" spans="1:21" s="8" customFormat="1" ht="15.6" x14ac:dyDescent="0.3">
      <c r="A86" s="586"/>
      <c r="B86" s="109" t="s">
        <v>282</v>
      </c>
      <c r="C86" s="72"/>
      <c r="D86" s="72"/>
      <c r="E86" s="72"/>
      <c r="F86" s="957" t="s">
        <v>159</v>
      </c>
      <c r="G86" s="957"/>
      <c r="H86" s="958" t="s">
        <v>158</v>
      </c>
      <c r="I86" s="958"/>
      <c r="J86" s="957" t="s">
        <v>273</v>
      </c>
      <c r="K86" s="957"/>
      <c r="L86" s="79"/>
      <c r="M86" s="79"/>
    </row>
    <row r="87" spans="1:21" x14ac:dyDescent="0.25">
      <c r="B87" s="72"/>
      <c r="C87" s="72"/>
      <c r="D87" s="72"/>
      <c r="E87" s="72"/>
      <c r="F87" s="74"/>
      <c r="G87" s="74"/>
      <c r="H87" s="73"/>
      <c r="I87" s="73"/>
      <c r="J87" s="73"/>
      <c r="K87" s="79"/>
      <c r="L87" s="79"/>
      <c r="M87" s="79"/>
      <c r="N87" s="8"/>
      <c r="O87" s="8"/>
      <c r="P87" s="8"/>
      <c r="Q87" s="8"/>
      <c r="R87" s="8"/>
      <c r="S87" s="8"/>
      <c r="T87" s="8"/>
      <c r="U87" s="8"/>
    </row>
    <row r="88" spans="1:21" ht="15.6" x14ac:dyDescent="0.3">
      <c r="B88" s="109"/>
      <c r="C88" s="72"/>
      <c r="D88" s="462" t="s">
        <v>364</v>
      </c>
      <c r="E88" s="72"/>
      <c r="F88" s="836"/>
      <c r="G88" s="836"/>
      <c r="H88" s="837"/>
      <c r="I88" s="837"/>
      <c r="J88" s="836"/>
      <c r="K88" s="836"/>
      <c r="L88" s="79"/>
      <c r="M88" s="79"/>
    </row>
    <row r="89" spans="1:21" ht="13.8" thickBot="1" x14ac:dyDescent="0.3">
      <c r="B89" s="214" t="s">
        <v>357</v>
      </c>
      <c r="C89" s="72"/>
      <c r="D89" s="72"/>
      <c r="E89" s="72"/>
      <c r="F89" s="74"/>
      <c r="G89" s="74"/>
      <c r="H89" s="73"/>
      <c r="I89" s="73"/>
      <c r="J89" s="79"/>
      <c r="K89" s="79"/>
      <c r="L89" s="79"/>
      <c r="M89" s="79"/>
    </row>
    <row r="90" spans="1:21" ht="13.8" thickBot="1" x14ac:dyDescent="0.3">
      <c r="B90" s="72"/>
      <c r="C90" s="72" t="s">
        <v>69</v>
      </c>
      <c r="D90" s="79"/>
      <c r="E90" s="72"/>
      <c r="F90" s="119">
        <v>2</v>
      </c>
      <c r="G90" s="74" t="s">
        <v>20</v>
      </c>
      <c r="H90" s="99">
        <v>18.8</v>
      </c>
      <c r="I90" s="73" t="s">
        <v>5</v>
      </c>
      <c r="J90" s="79">
        <f>F90*H90</f>
        <v>37.6</v>
      </c>
      <c r="K90" s="72" t="s">
        <v>14</v>
      </c>
      <c r="L90" s="79"/>
      <c r="M90" s="79"/>
    </row>
    <row r="91" spans="1:21" ht="13.8" thickBot="1" x14ac:dyDescent="0.3">
      <c r="B91" s="72"/>
      <c r="C91" s="72" t="s">
        <v>68</v>
      </c>
      <c r="D91" s="79"/>
      <c r="E91" s="72"/>
      <c r="F91" s="119">
        <v>0.1</v>
      </c>
      <c r="G91" s="74" t="s">
        <v>20</v>
      </c>
      <c r="H91" s="99">
        <v>39.200000000000003</v>
      </c>
      <c r="I91" s="73" t="s">
        <v>6</v>
      </c>
      <c r="J91" s="79">
        <f t="shared" ref="J91:J95" si="9">F91*H91</f>
        <v>3.9200000000000004</v>
      </c>
      <c r="K91" s="72" t="s">
        <v>14</v>
      </c>
      <c r="L91" s="79"/>
      <c r="M91" s="79"/>
    </row>
    <row r="92" spans="1:21" ht="13.8" thickBot="1" x14ac:dyDescent="0.3">
      <c r="B92" s="72"/>
      <c r="C92" s="72" t="s">
        <v>70</v>
      </c>
      <c r="D92" s="79"/>
      <c r="E92" s="72"/>
      <c r="F92" s="119">
        <v>0.3</v>
      </c>
      <c r="G92" s="74" t="s">
        <v>20</v>
      </c>
      <c r="H92" s="99">
        <v>48</v>
      </c>
      <c r="I92" s="73" t="s">
        <v>5</v>
      </c>
      <c r="J92" s="79">
        <f t="shared" si="9"/>
        <v>14.399999999999999</v>
      </c>
      <c r="K92" s="72" t="s">
        <v>14</v>
      </c>
      <c r="L92" s="79"/>
      <c r="M92" s="79"/>
    </row>
    <row r="93" spans="1:21" ht="13.8" thickBot="1" x14ac:dyDescent="0.3">
      <c r="B93" s="72"/>
      <c r="C93" s="72" t="s">
        <v>31</v>
      </c>
      <c r="D93" s="79"/>
      <c r="E93" s="72"/>
      <c r="F93" s="119"/>
      <c r="G93" s="74" t="s">
        <v>20</v>
      </c>
      <c r="H93" s="99"/>
      <c r="I93" s="73" t="s">
        <v>5</v>
      </c>
      <c r="J93" s="79">
        <f t="shared" si="9"/>
        <v>0</v>
      </c>
      <c r="K93" s="72" t="s">
        <v>14</v>
      </c>
      <c r="L93" s="79"/>
      <c r="M93" s="79"/>
    </row>
    <row r="94" spans="1:21" ht="13.8" thickBot="1" x14ac:dyDescent="0.3">
      <c r="B94" s="72"/>
      <c r="C94" s="72" t="s">
        <v>31</v>
      </c>
      <c r="D94" s="72"/>
      <c r="E94" s="72"/>
      <c r="F94" s="119"/>
      <c r="G94" s="74" t="s">
        <v>20</v>
      </c>
      <c r="H94" s="99"/>
      <c r="I94" s="73" t="s">
        <v>5</v>
      </c>
      <c r="J94" s="79">
        <f t="shared" si="9"/>
        <v>0</v>
      </c>
      <c r="K94" s="72" t="s">
        <v>14</v>
      </c>
      <c r="L94" s="79"/>
      <c r="M94" s="79"/>
    </row>
    <row r="95" spans="1:21" ht="13.8" thickBot="1" x14ac:dyDescent="0.3">
      <c r="B95" s="72"/>
      <c r="C95" s="72" t="s">
        <v>31</v>
      </c>
      <c r="D95" s="72"/>
      <c r="E95" s="72"/>
      <c r="F95" s="119"/>
      <c r="G95" s="74" t="s">
        <v>20</v>
      </c>
      <c r="H95" s="99"/>
      <c r="I95" s="73" t="s">
        <v>5</v>
      </c>
      <c r="J95" s="79">
        <f t="shared" si="9"/>
        <v>0</v>
      </c>
      <c r="K95" s="72" t="s">
        <v>14</v>
      </c>
      <c r="L95" s="79"/>
      <c r="M95" s="79"/>
    </row>
    <row r="96" spans="1:21" x14ac:dyDescent="0.25">
      <c r="B96" s="72"/>
      <c r="C96" s="72"/>
      <c r="D96" s="72"/>
      <c r="E96" s="72"/>
      <c r="F96" s="212"/>
      <c r="G96" s="74"/>
      <c r="H96" s="213"/>
      <c r="I96" s="73"/>
      <c r="J96" s="79"/>
      <c r="K96" s="72"/>
      <c r="L96" s="79"/>
      <c r="M96" s="79"/>
    </row>
    <row r="97" spans="1:15" ht="13.8" thickBot="1" x14ac:dyDescent="0.3">
      <c r="B97" s="214" t="s">
        <v>358</v>
      </c>
      <c r="C97" s="72"/>
      <c r="D97" s="72"/>
      <c r="E97" s="72"/>
      <c r="F97" s="212"/>
      <c r="G97" s="74"/>
      <c r="H97" s="213"/>
      <c r="I97" s="73"/>
      <c r="J97" s="79"/>
      <c r="K97" s="72"/>
      <c r="L97" s="79"/>
      <c r="M97" s="79"/>
    </row>
    <row r="98" spans="1:15" ht="13.8" thickBot="1" x14ac:dyDescent="0.3">
      <c r="B98" s="72"/>
      <c r="C98" s="72" t="s">
        <v>57</v>
      </c>
      <c r="D98" s="72"/>
      <c r="E98" s="72"/>
      <c r="F98" s="119"/>
      <c r="G98" s="74" t="s">
        <v>20</v>
      </c>
      <c r="H98" s="119"/>
      <c r="I98" s="73" t="s">
        <v>5</v>
      </c>
      <c r="J98" s="79">
        <f t="shared" ref="J98:J101" si="10">F98*H98</f>
        <v>0</v>
      </c>
      <c r="K98" s="72" t="s">
        <v>14</v>
      </c>
      <c r="L98" s="79"/>
      <c r="M98" s="79"/>
    </row>
    <row r="99" spans="1:15" ht="13.8" thickBot="1" x14ac:dyDescent="0.3">
      <c r="B99" s="72"/>
      <c r="C99" s="72" t="s">
        <v>57</v>
      </c>
      <c r="D99" s="72"/>
      <c r="E99" s="72"/>
      <c r="F99" s="119"/>
      <c r="G99" s="74" t="s">
        <v>20</v>
      </c>
      <c r="H99" s="119"/>
      <c r="I99" s="73" t="s">
        <v>5</v>
      </c>
      <c r="J99" s="79">
        <f t="shared" si="10"/>
        <v>0</v>
      </c>
      <c r="K99" s="72" t="s">
        <v>14</v>
      </c>
      <c r="L99" s="79"/>
      <c r="M99" s="79"/>
    </row>
    <row r="100" spans="1:15" ht="13.8" thickBot="1" x14ac:dyDescent="0.3">
      <c r="B100" s="72"/>
      <c r="C100" s="72" t="s">
        <v>57</v>
      </c>
      <c r="D100" s="72"/>
      <c r="E100" s="72"/>
      <c r="F100" s="119"/>
      <c r="G100" s="74" t="s">
        <v>20</v>
      </c>
      <c r="H100" s="119"/>
      <c r="I100" s="73" t="s">
        <v>5</v>
      </c>
      <c r="J100" s="79">
        <f t="shared" si="10"/>
        <v>0</v>
      </c>
      <c r="K100" s="72" t="s">
        <v>14</v>
      </c>
      <c r="L100" s="79"/>
      <c r="M100" s="79"/>
    </row>
    <row r="101" spans="1:15" ht="13.8" thickBot="1" x14ac:dyDescent="0.3">
      <c r="B101" s="72"/>
      <c r="C101" s="72" t="s">
        <v>57</v>
      </c>
      <c r="D101" s="72"/>
      <c r="E101" s="72"/>
      <c r="F101" s="119"/>
      <c r="G101" s="74" t="s">
        <v>20</v>
      </c>
      <c r="H101" s="119"/>
      <c r="I101" s="73" t="s">
        <v>5</v>
      </c>
      <c r="J101" s="79">
        <f t="shared" si="10"/>
        <v>0</v>
      </c>
      <c r="K101" s="72" t="s">
        <v>14</v>
      </c>
      <c r="L101" s="79"/>
      <c r="M101" s="79"/>
    </row>
    <row r="102" spans="1:15" s="8" customFormat="1" x14ac:dyDescent="0.25">
      <c r="A102" s="586"/>
      <c r="B102" s="241"/>
      <c r="C102" s="241" t="s">
        <v>16</v>
      </c>
      <c r="D102" s="241"/>
      <c r="E102" s="241"/>
      <c r="F102" s="273"/>
      <c r="G102" s="242"/>
      <c r="H102" s="273"/>
      <c r="I102" s="243"/>
      <c r="J102" s="243">
        <f>SUM(J90:J101)</f>
        <v>55.92</v>
      </c>
      <c r="K102" s="241" t="s">
        <v>14</v>
      </c>
      <c r="L102" s="241"/>
      <c r="M102" s="241"/>
    </row>
    <row r="103" spans="1:15" x14ac:dyDescent="0.25">
      <c r="B103" s="72"/>
      <c r="C103" s="72"/>
      <c r="D103" s="72"/>
      <c r="E103" s="72"/>
      <c r="F103" s="74"/>
      <c r="G103" s="74"/>
      <c r="H103" s="73"/>
      <c r="I103" s="73"/>
      <c r="J103" s="79"/>
      <c r="K103" s="72"/>
      <c r="L103" s="79"/>
      <c r="M103" s="79"/>
    </row>
    <row r="104" spans="1:15" x14ac:dyDescent="0.25">
      <c r="A104" s="591"/>
      <c r="N104" s="5"/>
      <c r="O104" s="5"/>
    </row>
    <row r="105" spans="1:15" ht="15.6" x14ac:dyDescent="0.3">
      <c r="A105" s="591"/>
      <c r="B105" s="110" t="s">
        <v>285</v>
      </c>
      <c r="C105" s="82"/>
      <c r="D105" s="82"/>
      <c r="E105" s="82"/>
      <c r="F105" s="965" t="s">
        <v>159</v>
      </c>
      <c r="G105" s="965"/>
      <c r="H105" s="965" t="s">
        <v>158</v>
      </c>
      <c r="I105" s="965"/>
      <c r="J105" s="965" t="s">
        <v>273</v>
      </c>
      <c r="K105" s="965"/>
      <c r="L105" s="84"/>
      <c r="M105" s="84"/>
      <c r="N105" s="5"/>
      <c r="O105" s="5"/>
    </row>
    <row r="106" spans="1:15" ht="13.8" thickBot="1" x14ac:dyDescent="0.3">
      <c r="A106" s="591"/>
      <c r="B106" s="82"/>
      <c r="C106" s="82"/>
      <c r="D106" s="82"/>
      <c r="E106" s="82"/>
      <c r="F106" s="82"/>
      <c r="G106" s="82"/>
      <c r="H106" s="83"/>
      <c r="I106" s="83"/>
      <c r="J106" s="84"/>
      <c r="K106" s="84"/>
      <c r="L106" s="84"/>
      <c r="M106" s="84"/>
      <c r="N106" s="5"/>
      <c r="O106" s="5"/>
    </row>
    <row r="107" spans="1:15" ht="13.8" thickBot="1" x14ac:dyDescent="0.3">
      <c r="A107" s="591"/>
      <c r="B107" s="82"/>
      <c r="C107" s="82" t="s">
        <v>286</v>
      </c>
      <c r="D107" s="84"/>
      <c r="E107" s="82"/>
      <c r="F107" s="463">
        <f>S10*'Gårdens info'!$G$17/1</f>
        <v>0</v>
      </c>
      <c r="G107" s="82" t="s">
        <v>153</v>
      </c>
      <c r="H107" s="99">
        <v>0.01</v>
      </c>
      <c r="I107" s="83" t="s">
        <v>152</v>
      </c>
      <c r="J107" s="85">
        <f>F107*H107</f>
        <v>0</v>
      </c>
      <c r="K107" s="82" t="s">
        <v>14</v>
      </c>
      <c r="L107" s="84"/>
      <c r="M107" s="84"/>
      <c r="N107" s="5"/>
      <c r="O107" s="5"/>
    </row>
    <row r="108" spans="1:15" ht="13.8" thickBot="1" x14ac:dyDescent="0.3">
      <c r="A108" s="591"/>
      <c r="B108" s="82"/>
      <c r="C108" s="82" t="s">
        <v>287</v>
      </c>
      <c r="D108" s="84"/>
      <c r="E108" s="82"/>
      <c r="F108" s="463">
        <f>S11*'Gårdens info'!$G$17/1</f>
        <v>0</v>
      </c>
      <c r="G108" s="82" t="s">
        <v>153</v>
      </c>
      <c r="H108" s="99">
        <v>0.01</v>
      </c>
      <c r="I108" s="83" t="s">
        <v>152</v>
      </c>
      <c r="J108" s="85">
        <f t="shared" ref="J108:J114" si="11">F108*H108</f>
        <v>0</v>
      </c>
      <c r="K108" s="82" t="s">
        <v>14</v>
      </c>
      <c r="L108" s="84"/>
      <c r="M108" s="84"/>
      <c r="N108" s="5"/>
      <c r="O108" s="5"/>
    </row>
    <row r="109" spans="1:15" ht="13.8" thickBot="1" x14ac:dyDescent="0.3">
      <c r="A109" s="591"/>
      <c r="B109" s="82"/>
      <c r="C109" s="82" t="s">
        <v>288</v>
      </c>
      <c r="D109" s="84"/>
      <c r="E109" s="82"/>
      <c r="F109" s="463">
        <f>S12*'Gårdens info'!$G$17/1</f>
        <v>0</v>
      </c>
      <c r="G109" s="82" t="s">
        <v>153</v>
      </c>
      <c r="H109" s="99">
        <v>0.01</v>
      </c>
      <c r="I109" s="83" t="s">
        <v>152</v>
      </c>
      <c r="J109" s="85">
        <f t="shared" si="11"/>
        <v>0</v>
      </c>
      <c r="K109" s="82" t="s">
        <v>14</v>
      </c>
      <c r="L109" s="84"/>
      <c r="M109" s="84"/>
      <c r="N109" s="5"/>
      <c r="O109" s="5"/>
    </row>
    <row r="110" spans="1:15" ht="13.8" thickBot="1" x14ac:dyDescent="0.3">
      <c r="A110" s="591"/>
      <c r="B110" s="82"/>
      <c r="C110" s="82" t="s">
        <v>289</v>
      </c>
      <c r="D110" s="84"/>
      <c r="E110" s="82"/>
      <c r="F110" s="463">
        <f>S13*'Gårdens info'!$G$17/1</f>
        <v>0</v>
      </c>
      <c r="G110" s="82" t="s">
        <v>153</v>
      </c>
      <c r="H110" s="99">
        <v>0.05</v>
      </c>
      <c r="I110" s="83" t="s">
        <v>152</v>
      </c>
      <c r="J110" s="85">
        <f t="shared" si="11"/>
        <v>0</v>
      </c>
      <c r="K110" s="82" t="s">
        <v>14</v>
      </c>
      <c r="L110" s="84"/>
      <c r="M110" s="84"/>
      <c r="N110" s="5"/>
      <c r="O110" s="5"/>
    </row>
    <row r="111" spans="1:15" ht="13.8" thickBot="1" x14ac:dyDescent="0.3">
      <c r="A111" s="591"/>
      <c r="B111" s="82"/>
      <c r="C111" s="119" t="s">
        <v>290</v>
      </c>
      <c r="D111" s="99"/>
      <c r="E111" s="82" t="s">
        <v>21</v>
      </c>
      <c r="F111" s="463">
        <f>IF(S14&gt;0,S14*'Gårdens info'!$G$17/D111,0)</f>
        <v>0</v>
      </c>
      <c r="G111" s="82" t="s">
        <v>153</v>
      </c>
      <c r="H111" s="99"/>
      <c r="I111" s="83" t="s">
        <v>152</v>
      </c>
      <c r="J111" s="85">
        <f t="shared" ref="J111:J113" si="12">F111*H111</f>
        <v>0</v>
      </c>
      <c r="K111" s="82" t="s">
        <v>14</v>
      </c>
      <c r="L111" s="84"/>
      <c r="M111" s="84"/>
      <c r="N111" s="5"/>
      <c r="O111" s="5"/>
    </row>
    <row r="112" spans="1:15" ht="13.8" thickBot="1" x14ac:dyDescent="0.3">
      <c r="A112" s="591"/>
      <c r="B112" s="82"/>
      <c r="C112" s="119" t="s">
        <v>290</v>
      </c>
      <c r="D112" s="99"/>
      <c r="E112" s="82" t="s">
        <v>21</v>
      </c>
      <c r="F112" s="463">
        <f>IF(S15&gt;0,S15*'Gårdens info'!$G$17/D112,0)</f>
        <v>0</v>
      </c>
      <c r="G112" s="82" t="s">
        <v>153</v>
      </c>
      <c r="H112" s="99"/>
      <c r="I112" s="83" t="s">
        <v>152</v>
      </c>
      <c r="J112" s="85">
        <f t="shared" si="12"/>
        <v>0</v>
      </c>
      <c r="K112" s="82" t="s">
        <v>14</v>
      </c>
      <c r="L112" s="84"/>
      <c r="M112" s="84"/>
      <c r="N112" s="5"/>
      <c r="O112" s="5"/>
    </row>
    <row r="113" spans="1:21" ht="13.8" thickBot="1" x14ac:dyDescent="0.3">
      <c r="A113" s="591"/>
      <c r="B113" s="82"/>
      <c r="C113" s="119" t="s">
        <v>290</v>
      </c>
      <c r="D113" s="99"/>
      <c r="E113" s="82" t="s">
        <v>21</v>
      </c>
      <c r="F113" s="463">
        <f>IF(S16&gt;0,S16*'Gårdens info'!$G$17/D113,0)</f>
        <v>0</v>
      </c>
      <c r="G113" s="82" t="s">
        <v>153</v>
      </c>
      <c r="H113" s="99"/>
      <c r="I113" s="83" t="s">
        <v>152</v>
      </c>
      <c r="J113" s="85">
        <f t="shared" si="12"/>
        <v>0</v>
      </c>
      <c r="K113" s="82" t="s">
        <v>14</v>
      </c>
      <c r="L113" s="84"/>
      <c r="M113" s="84"/>
      <c r="N113" s="5"/>
      <c r="O113" s="5"/>
    </row>
    <row r="114" spans="1:21" ht="13.8" thickBot="1" x14ac:dyDescent="0.3">
      <c r="A114" s="591"/>
      <c r="B114" s="82"/>
      <c r="C114" s="119" t="s">
        <v>290</v>
      </c>
      <c r="D114" s="99"/>
      <c r="E114" s="82" t="s">
        <v>21</v>
      </c>
      <c r="F114" s="463">
        <f>IF(S17&gt;0,S17*'Gårdens info'!$G$17/D114,0)</f>
        <v>0</v>
      </c>
      <c r="G114" s="82" t="s">
        <v>153</v>
      </c>
      <c r="H114" s="99"/>
      <c r="I114" s="83" t="s">
        <v>152</v>
      </c>
      <c r="J114" s="85">
        <f t="shared" si="11"/>
        <v>0</v>
      </c>
      <c r="K114" s="82" t="s">
        <v>14</v>
      </c>
      <c r="L114" s="84"/>
      <c r="M114" s="84"/>
      <c r="N114" s="5"/>
      <c r="O114" s="5"/>
    </row>
    <row r="115" spans="1:21" x14ac:dyDescent="0.25">
      <c r="A115" s="591"/>
      <c r="B115" s="245"/>
      <c r="C115" s="245" t="s">
        <v>196</v>
      </c>
      <c r="D115" s="245"/>
      <c r="E115" s="245"/>
      <c r="F115" s="246"/>
      <c r="G115" s="245"/>
      <c r="H115" s="247"/>
      <c r="I115" s="248"/>
      <c r="J115" s="249">
        <f>SUM(J107:J114)</f>
        <v>0</v>
      </c>
      <c r="K115" s="245" t="s">
        <v>14</v>
      </c>
      <c r="L115" s="245"/>
      <c r="M115" s="245"/>
      <c r="N115" s="5"/>
      <c r="O115" s="5"/>
    </row>
    <row r="116" spans="1:21" x14ac:dyDescent="0.25">
      <c r="A116" s="591"/>
      <c r="B116" s="82"/>
      <c r="C116" s="82"/>
      <c r="D116" s="82"/>
      <c r="E116" s="82"/>
      <c r="F116" s="82"/>
      <c r="G116" s="82"/>
      <c r="H116" s="83"/>
      <c r="I116" s="83"/>
      <c r="J116" s="85"/>
      <c r="K116" s="82"/>
      <c r="L116" s="84"/>
      <c r="M116" s="84"/>
      <c r="N116" s="5"/>
      <c r="O116" s="5"/>
    </row>
    <row r="117" spans="1:21" x14ac:dyDescent="0.25">
      <c r="A117" s="591"/>
      <c r="N117" s="5"/>
      <c r="O117" s="5"/>
    </row>
    <row r="118" spans="1:21" s="8" customFormat="1" ht="15.6" x14ac:dyDescent="0.3">
      <c r="A118" s="799"/>
      <c r="B118" s="111" t="s">
        <v>291</v>
      </c>
      <c r="C118" s="87"/>
      <c r="D118" s="87"/>
      <c r="E118" s="87"/>
      <c r="F118" s="966" t="s">
        <v>159</v>
      </c>
      <c r="G118" s="966"/>
      <c r="H118" s="966" t="s">
        <v>158</v>
      </c>
      <c r="I118" s="966"/>
      <c r="J118" s="966" t="s">
        <v>273</v>
      </c>
      <c r="K118" s="966"/>
      <c r="L118" s="89"/>
      <c r="M118" s="89"/>
      <c r="N118" s="5"/>
      <c r="O118" s="5"/>
      <c r="P118"/>
      <c r="Q118"/>
      <c r="R118"/>
      <c r="S118"/>
      <c r="T118"/>
      <c r="U118"/>
    </row>
    <row r="119" spans="1:21" ht="13.8" thickBot="1" x14ac:dyDescent="0.3">
      <c r="A119" s="591"/>
      <c r="B119" s="87"/>
      <c r="C119" s="87"/>
      <c r="D119" s="87"/>
      <c r="E119" s="87"/>
      <c r="F119" s="87"/>
      <c r="G119" s="87"/>
      <c r="H119" s="88"/>
      <c r="I119" s="88"/>
      <c r="J119" s="89"/>
      <c r="K119" s="89"/>
      <c r="L119" s="89"/>
      <c r="M119" s="89"/>
      <c r="N119" s="5"/>
      <c r="O119" s="5"/>
    </row>
    <row r="120" spans="1:21" ht="13.8" thickBot="1" x14ac:dyDescent="0.3">
      <c r="A120" s="591"/>
      <c r="B120" s="87"/>
      <c r="C120" s="87" t="s">
        <v>247</v>
      </c>
      <c r="D120" s="89"/>
      <c r="E120" s="87"/>
      <c r="F120" s="96">
        <f>'Gårdens info'!G17*'Gårdens info'!D17*0.9</f>
        <v>0</v>
      </c>
      <c r="G120" s="87" t="s">
        <v>21</v>
      </c>
      <c r="H120" s="99">
        <v>0.02</v>
      </c>
      <c r="I120" s="88" t="s">
        <v>6</v>
      </c>
      <c r="J120" s="90">
        <f t="shared" ref="J120:J122" si="13">F120*H120</f>
        <v>0</v>
      </c>
      <c r="K120" s="87" t="s">
        <v>14</v>
      </c>
      <c r="L120" s="89"/>
      <c r="M120" s="89"/>
      <c r="N120" s="9"/>
      <c r="O120" s="9"/>
      <c r="P120" s="8"/>
      <c r="Q120" s="8"/>
      <c r="R120" s="8"/>
      <c r="S120" s="8"/>
      <c r="T120" s="8"/>
      <c r="U120" s="8"/>
    </row>
    <row r="121" spans="1:21" ht="13.8" thickBot="1" x14ac:dyDescent="0.3">
      <c r="A121" s="591"/>
      <c r="B121" s="87"/>
      <c r="C121" s="87" t="s">
        <v>292</v>
      </c>
      <c r="D121" s="87"/>
      <c r="E121" s="87"/>
      <c r="F121" s="96"/>
      <c r="G121" s="87" t="s">
        <v>21</v>
      </c>
      <c r="H121" s="99"/>
      <c r="I121" s="88" t="s">
        <v>6</v>
      </c>
      <c r="J121" s="90">
        <f t="shared" si="13"/>
        <v>0</v>
      </c>
      <c r="K121" s="87" t="s">
        <v>14</v>
      </c>
      <c r="L121" s="89"/>
      <c r="M121" s="89"/>
      <c r="N121" s="5"/>
      <c r="O121" s="5"/>
    </row>
    <row r="122" spans="1:21" ht="13.8" thickBot="1" x14ac:dyDescent="0.3">
      <c r="A122" s="591"/>
      <c r="B122" s="87"/>
      <c r="C122" s="87" t="s">
        <v>292</v>
      </c>
      <c r="D122" s="87"/>
      <c r="E122" s="87"/>
      <c r="F122" s="96"/>
      <c r="G122" s="87" t="s">
        <v>21</v>
      </c>
      <c r="H122" s="99"/>
      <c r="I122" s="88" t="s">
        <v>6</v>
      </c>
      <c r="J122" s="90">
        <f t="shared" si="13"/>
        <v>0</v>
      </c>
      <c r="K122" s="87" t="s">
        <v>14</v>
      </c>
      <c r="L122" s="89"/>
      <c r="M122" s="89"/>
      <c r="N122" s="5"/>
      <c r="O122" s="5"/>
    </row>
    <row r="123" spans="1:21" x14ac:dyDescent="0.25">
      <c r="A123" s="591"/>
      <c r="B123" s="250"/>
      <c r="C123" s="250" t="s">
        <v>196</v>
      </c>
      <c r="D123" s="250"/>
      <c r="E123" s="250"/>
      <c r="F123" s="251"/>
      <c r="G123" s="250"/>
      <c r="H123" s="252"/>
      <c r="I123" s="253"/>
      <c r="J123" s="254">
        <f>SUM(J120:J122)</f>
        <v>0</v>
      </c>
      <c r="K123" s="250" t="s">
        <v>14</v>
      </c>
      <c r="L123" s="250"/>
      <c r="M123" s="250"/>
      <c r="N123" s="5"/>
      <c r="O123" s="5"/>
    </row>
    <row r="124" spans="1:21" x14ac:dyDescent="0.25">
      <c r="A124" s="591"/>
      <c r="B124" s="87"/>
      <c r="C124" s="87"/>
      <c r="D124" s="87"/>
      <c r="E124" s="87"/>
      <c r="F124" s="87"/>
      <c r="G124" s="87"/>
      <c r="H124" s="88"/>
      <c r="I124" s="88"/>
      <c r="J124" s="90"/>
      <c r="K124" s="87"/>
      <c r="L124" s="89"/>
      <c r="M124" s="89"/>
      <c r="N124" s="5"/>
    </row>
    <row r="125" spans="1:21" x14ac:dyDescent="0.25">
      <c r="A125" s="591"/>
      <c r="N125" s="5"/>
    </row>
    <row r="126" spans="1:21" ht="15.6" x14ac:dyDescent="0.3">
      <c r="A126" s="591"/>
      <c r="B126" s="219" t="s">
        <v>293</v>
      </c>
      <c r="C126" s="220"/>
      <c r="D126" s="220"/>
      <c r="E126" s="220"/>
      <c r="F126" s="964" t="s">
        <v>159</v>
      </c>
      <c r="G126" s="964"/>
      <c r="H126" s="964" t="s">
        <v>158</v>
      </c>
      <c r="I126" s="964"/>
      <c r="J126" s="964" t="s">
        <v>273</v>
      </c>
      <c r="K126" s="964"/>
      <c r="L126" s="222"/>
      <c r="M126" s="222"/>
      <c r="N126" s="5"/>
    </row>
    <row r="127" spans="1:21" ht="13.8" thickBot="1" x14ac:dyDescent="0.3">
      <c r="A127" s="591"/>
      <c r="B127" s="220"/>
      <c r="C127" s="220"/>
      <c r="D127" s="220"/>
      <c r="E127" s="220"/>
      <c r="F127" s="220"/>
      <c r="G127" s="220"/>
      <c r="H127" s="221"/>
      <c r="I127" s="221"/>
      <c r="J127" s="222"/>
      <c r="K127" s="222"/>
      <c r="L127" s="222"/>
      <c r="M127" s="222"/>
      <c r="N127" s="5"/>
    </row>
    <row r="128" spans="1:21" ht="13.8" thickBot="1" x14ac:dyDescent="0.3">
      <c r="A128" s="591"/>
      <c r="B128" s="220"/>
      <c r="C128" s="220" t="s">
        <v>294</v>
      </c>
      <c r="D128" s="222"/>
      <c r="E128" s="220"/>
      <c r="F128" s="96"/>
      <c r="G128" s="220" t="s">
        <v>0</v>
      </c>
      <c r="H128" s="99"/>
      <c r="I128" s="221" t="s">
        <v>14</v>
      </c>
      <c r="J128" s="223">
        <f t="shared" ref="J128:J130" si="14">F128*H128</f>
        <v>0</v>
      </c>
      <c r="K128" s="220" t="s">
        <v>14</v>
      </c>
      <c r="L128" s="222"/>
      <c r="M128" s="222"/>
      <c r="N128" s="5"/>
    </row>
    <row r="129" spans="1:21" ht="13.8" thickBot="1" x14ac:dyDescent="0.3">
      <c r="B129" s="220"/>
      <c r="C129" s="220" t="s">
        <v>294</v>
      </c>
      <c r="D129" s="220"/>
      <c r="E129" s="220"/>
      <c r="F129" s="96"/>
      <c r="G129" s="220" t="s">
        <v>0</v>
      </c>
      <c r="H129" s="99"/>
      <c r="I129" s="221" t="s">
        <v>14</v>
      </c>
      <c r="J129" s="223">
        <f t="shared" si="14"/>
        <v>0</v>
      </c>
      <c r="K129" s="220" t="s">
        <v>14</v>
      </c>
      <c r="L129" s="222"/>
      <c r="M129" s="222"/>
    </row>
    <row r="130" spans="1:21" ht="13.8" thickBot="1" x14ac:dyDescent="0.3">
      <c r="B130" s="220"/>
      <c r="C130" s="220" t="s">
        <v>294</v>
      </c>
      <c r="D130" s="220"/>
      <c r="E130" s="220"/>
      <c r="F130" s="96"/>
      <c r="G130" s="220" t="s">
        <v>0</v>
      </c>
      <c r="H130" s="99"/>
      <c r="I130" s="221" t="s">
        <v>14</v>
      </c>
      <c r="J130" s="223">
        <f t="shared" si="14"/>
        <v>0</v>
      </c>
      <c r="K130" s="220" t="s">
        <v>14</v>
      </c>
      <c r="L130" s="222"/>
      <c r="M130" s="222"/>
    </row>
    <row r="131" spans="1:21" s="8" customFormat="1" x14ac:dyDescent="0.25">
      <c r="A131" s="586"/>
      <c r="B131" s="255"/>
      <c r="C131" s="255" t="s">
        <v>196</v>
      </c>
      <c r="D131" s="255"/>
      <c r="E131" s="255"/>
      <c r="F131" s="256"/>
      <c r="G131" s="255"/>
      <c r="H131" s="257"/>
      <c r="I131" s="258"/>
      <c r="J131" s="259">
        <f>SUM(J128:J130)</f>
        <v>0</v>
      </c>
      <c r="K131" s="255" t="s">
        <v>14</v>
      </c>
      <c r="L131" s="255"/>
      <c r="M131" s="255"/>
      <c r="N131"/>
      <c r="O131"/>
      <c r="P131"/>
      <c r="Q131"/>
      <c r="R131"/>
      <c r="S131"/>
      <c r="T131"/>
      <c r="U131"/>
    </row>
    <row r="132" spans="1:21" x14ac:dyDescent="0.25">
      <c r="B132" s="220"/>
      <c r="C132" s="220"/>
      <c r="D132" s="220"/>
      <c r="E132" s="220"/>
      <c r="F132" s="220"/>
      <c r="G132" s="220"/>
      <c r="H132" s="221"/>
      <c r="I132" s="221"/>
      <c r="J132" s="223"/>
      <c r="K132" s="220"/>
      <c r="L132" s="222"/>
      <c r="M132" s="222"/>
    </row>
    <row r="133" spans="1:21" ht="30" customHeight="1" x14ac:dyDescent="0.25">
      <c r="N133" s="8"/>
      <c r="O133" s="8"/>
      <c r="P133" s="8"/>
      <c r="Q133" s="8"/>
      <c r="R133" s="8"/>
      <c r="S133" s="8"/>
      <c r="T133" s="8"/>
      <c r="U133" s="8"/>
    </row>
    <row r="134" spans="1:21" ht="15.6" x14ac:dyDescent="0.3">
      <c r="B134" s="225" t="s">
        <v>295</v>
      </c>
      <c r="C134" s="226"/>
      <c r="D134" s="226"/>
      <c r="E134" s="227"/>
      <c r="F134" s="226" t="s">
        <v>159</v>
      </c>
      <c r="G134" s="228"/>
      <c r="H134" s="228" t="s">
        <v>158</v>
      </c>
      <c r="I134" s="226"/>
      <c r="J134" s="226"/>
      <c r="K134" s="229"/>
      <c r="L134" s="229"/>
      <c r="M134" s="229"/>
    </row>
    <row r="135" spans="1:21" ht="16.2" thickBot="1" x14ac:dyDescent="0.35">
      <c r="B135" s="225"/>
      <c r="C135" s="226"/>
      <c r="D135" s="226"/>
      <c r="E135" s="227"/>
      <c r="F135" s="226"/>
      <c r="G135" s="228"/>
      <c r="H135" s="228"/>
      <c r="I135" s="226"/>
      <c r="J135" s="226"/>
      <c r="K135" s="229"/>
      <c r="L135" s="229"/>
      <c r="M135" s="229"/>
    </row>
    <row r="136" spans="1:21" ht="13.8" thickBot="1" x14ac:dyDescent="0.3">
      <c r="B136" s="226"/>
      <c r="C136" s="226" t="s">
        <v>296</v>
      </c>
      <c r="D136" s="229"/>
      <c r="E136" s="230"/>
      <c r="F136" s="96">
        <v>10500</v>
      </c>
      <c r="G136" s="231" t="s">
        <v>18</v>
      </c>
      <c r="H136" s="96">
        <v>0.15</v>
      </c>
      <c r="I136" s="232" t="s">
        <v>10</v>
      </c>
      <c r="J136" s="229">
        <f>H136*F136</f>
        <v>1575</v>
      </c>
      <c r="K136" s="232" t="s">
        <v>14</v>
      </c>
      <c r="L136" s="229"/>
      <c r="M136" s="229"/>
    </row>
    <row r="137" spans="1:21" ht="13.8" thickBot="1" x14ac:dyDescent="0.3">
      <c r="B137" s="226"/>
      <c r="C137" s="226" t="s">
        <v>297</v>
      </c>
      <c r="D137" s="232">
        <f>F169/2</f>
        <v>72</v>
      </c>
      <c r="E137" s="226" t="s">
        <v>9</v>
      </c>
      <c r="F137" s="96">
        <f>+D137*8</f>
        <v>576</v>
      </c>
      <c r="G137" s="228" t="s">
        <v>20</v>
      </c>
      <c r="H137" s="96">
        <v>0.83</v>
      </c>
      <c r="I137" s="232" t="s">
        <v>5</v>
      </c>
      <c r="J137" s="229">
        <f>H137*F137</f>
        <v>478.08</v>
      </c>
      <c r="K137" s="232" t="s">
        <v>14</v>
      </c>
      <c r="L137" s="229"/>
      <c r="M137" s="229"/>
    </row>
    <row r="138" spans="1:21" ht="13.8" thickBot="1" x14ac:dyDescent="0.3">
      <c r="B138" s="226"/>
      <c r="C138" s="226" t="s">
        <v>298</v>
      </c>
      <c r="D138" s="232">
        <f>D137</f>
        <v>72</v>
      </c>
      <c r="E138" s="226" t="s">
        <v>9</v>
      </c>
      <c r="F138" s="96">
        <v>11.88</v>
      </c>
      <c r="G138" s="228" t="s">
        <v>21</v>
      </c>
      <c r="H138" s="96">
        <v>4</v>
      </c>
      <c r="I138" s="232" t="s">
        <v>6</v>
      </c>
      <c r="J138" s="229">
        <f t="shared" ref="J138:J142" si="15">H138*F138</f>
        <v>47.52</v>
      </c>
      <c r="K138" s="232" t="s">
        <v>14</v>
      </c>
      <c r="L138" s="229"/>
      <c r="M138" s="229"/>
    </row>
    <row r="139" spans="1:21" ht="13.8" thickBot="1" x14ac:dyDescent="0.3">
      <c r="B139" s="226"/>
      <c r="C139" s="226" t="s">
        <v>19</v>
      </c>
      <c r="D139" s="229"/>
      <c r="E139" s="232"/>
      <c r="F139" s="96">
        <v>200</v>
      </c>
      <c r="G139" s="228" t="s">
        <v>20</v>
      </c>
      <c r="H139" s="96">
        <v>1.53</v>
      </c>
      <c r="I139" s="232" t="s">
        <v>5</v>
      </c>
      <c r="J139" s="229">
        <f t="shared" si="15"/>
        <v>306</v>
      </c>
      <c r="K139" s="232" t="s">
        <v>14</v>
      </c>
      <c r="L139" s="229"/>
      <c r="M139" s="229"/>
    </row>
    <row r="140" spans="1:21" ht="13.8" thickBot="1" x14ac:dyDescent="0.3">
      <c r="B140" s="226"/>
      <c r="C140" s="226" t="s">
        <v>299</v>
      </c>
      <c r="D140" s="229"/>
      <c r="E140" s="232"/>
      <c r="F140" s="96"/>
      <c r="G140" s="228" t="s">
        <v>20</v>
      </c>
      <c r="H140" s="96"/>
      <c r="I140" s="232" t="s">
        <v>5</v>
      </c>
      <c r="J140" s="229">
        <f t="shared" si="15"/>
        <v>0</v>
      </c>
      <c r="K140" s="232" t="s">
        <v>14</v>
      </c>
      <c r="L140" s="229"/>
      <c r="M140" s="229"/>
    </row>
    <row r="141" spans="1:21" ht="13.8" thickBot="1" x14ac:dyDescent="0.3">
      <c r="B141" s="226"/>
      <c r="C141" s="226" t="s">
        <v>300</v>
      </c>
      <c r="D141" s="229"/>
      <c r="E141" s="232"/>
      <c r="F141" s="96"/>
      <c r="G141" s="228"/>
      <c r="H141" s="96"/>
      <c r="I141" s="232"/>
      <c r="J141" s="229">
        <f t="shared" si="15"/>
        <v>0</v>
      </c>
      <c r="K141" s="232" t="s">
        <v>14</v>
      </c>
      <c r="L141" s="229"/>
      <c r="M141" s="229"/>
    </row>
    <row r="142" spans="1:21" ht="13.8" thickBot="1" x14ac:dyDescent="0.3">
      <c r="B142" s="229"/>
      <c r="C142" s="226" t="s">
        <v>300</v>
      </c>
      <c r="D142" s="229"/>
      <c r="E142" s="229"/>
      <c r="F142" s="96"/>
      <c r="G142" s="229"/>
      <c r="H142" s="96"/>
      <c r="I142" s="229"/>
      <c r="J142" s="229">
        <f t="shared" si="15"/>
        <v>0</v>
      </c>
      <c r="K142" s="232" t="s">
        <v>14</v>
      </c>
      <c r="L142" s="229"/>
      <c r="M142" s="229"/>
    </row>
    <row r="143" spans="1:21" s="8" customFormat="1" x14ac:dyDescent="0.25">
      <c r="A143" s="586"/>
      <c r="B143" s="260"/>
      <c r="C143" s="260" t="s">
        <v>196</v>
      </c>
      <c r="D143" s="260"/>
      <c r="E143" s="260"/>
      <c r="F143" s="261"/>
      <c r="G143" s="260"/>
      <c r="H143" s="261"/>
      <c r="I143" s="260"/>
      <c r="J143" s="260">
        <f>SUM(J136:J142)</f>
        <v>2406.6</v>
      </c>
      <c r="K143" s="262" t="s">
        <v>14</v>
      </c>
      <c r="L143" s="260"/>
      <c r="M143" s="260"/>
    </row>
    <row r="144" spans="1:21" x14ac:dyDescent="0.25">
      <c r="B144" s="229"/>
      <c r="C144" s="229"/>
      <c r="D144" s="229"/>
      <c r="E144" s="229"/>
      <c r="F144" s="229"/>
      <c r="G144" s="229"/>
      <c r="H144" s="229"/>
      <c r="I144" s="229"/>
      <c r="J144" s="229"/>
      <c r="K144" s="229"/>
      <c r="L144" s="229"/>
      <c r="M144" s="229"/>
    </row>
    <row r="146" spans="1:21" ht="15.6" x14ac:dyDescent="0.3">
      <c r="B146" s="112" t="s">
        <v>301</v>
      </c>
      <c r="C146" s="101"/>
      <c r="D146" s="101"/>
      <c r="E146" s="101"/>
      <c r="F146" s="101"/>
      <c r="G146" s="101"/>
      <c r="H146" s="101"/>
      <c r="I146" s="101"/>
      <c r="J146" s="101"/>
      <c r="K146" s="101"/>
      <c r="L146" s="101"/>
      <c r="M146" s="101"/>
    </row>
    <row r="147" spans="1:21" ht="15.6" x14ac:dyDescent="0.3">
      <c r="B147" s="112"/>
      <c r="C147" s="101"/>
      <c r="D147" s="101"/>
      <c r="E147" s="101"/>
      <c r="F147" s="101"/>
      <c r="G147" s="101"/>
      <c r="H147" s="101"/>
      <c r="I147" s="101"/>
      <c r="J147" s="101"/>
      <c r="K147" s="101"/>
      <c r="L147" s="101"/>
      <c r="M147" s="101"/>
    </row>
    <row r="148" spans="1:21" ht="15" customHeight="1" x14ac:dyDescent="0.25">
      <c r="B148" s="961" t="s">
        <v>302</v>
      </c>
      <c r="C148" s="961"/>
      <c r="D148" s="961"/>
      <c r="E148" s="961"/>
      <c r="F148" s="961"/>
      <c r="G148" s="961"/>
      <c r="H148" s="961"/>
      <c r="I148" s="961"/>
      <c r="J148" s="961"/>
      <c r="K148" s="961"/>
      <c r="L148" s="961"/>
      <c r="M148" s="961"/>
    </row>
    <row r="149" spans="1:21" s="8" customFormat="1" ht="15.6" x14ac:dyDescent="0.3">
      <c r="A149" s="586"/>
      <c r="B149" s="112"/>
      <c r="C149" s="101"/>
      <c r="D149" s="101"/>
      <c r="E149" s="834"/>
      <c r="F149" s="834"/>
      <c r="G149" s="834"/>
      <c r="H149" s="835"/>
      <c r="I149" s="835"/>
      <c r="J149" s="834"/>
      <c r="K149" s="834"/>
      <c r="L149" s="835"/>
      <c r="M149" s="835"/>
      <c r="N149"/>
      <c r="O149"/>
      <c r="P149"/>
      <c r="Q149"/>
      <c r="R149"/>
      <c r="S149"/>
      <c r="T149"/>
      <c r="U149"/>
    </row>
    <row r="150" spans="1:21" ht="15.6" x14ac:dyDescent="0.3">
      <c r="B150" s="112"/>
      <c r="C150" s="101"/>
      <c r="D150" s="101"/>
      <c r="E150" s="962" t="s">
        <v>303</v>
      </c>
      <c r="F150" s="962"/>
      <c r="G150" s="962"/>
      <c r="H150" s="963" t="s">
        <v>158</v>
      </c>
      <c r="I150" s="963"/>
      <c r="J150" s="963" t="s">
        <v>304</v>
      </c>
      <c r="K150" s="963"/>
      <c r="L150" s="963" t="s">
        <v>158</v>
      </c>
      <c r="M150" s="963"/>
    </row>
    <row r="151" spans="1:21" ht="33" customHeight="1" thickBot="1" x14ac:dyDescent="0.3">
      <c r="B151" s="100"/>
      <c r="C151" s="101"/>
      <c r="D151" s="101"/>
      <c r="E151" s="101"/>
      <c r="F151" s="101"/>
      <c r="G151" s="101"/>
      <c r="H151" s="101"/>
      <c r="I151" s="101"/>
      <c r="J151" s="101"/>
      <c r="K151" s="101"/>
      <c r="L151" s="101"/>
      <c r="M151" s="101"/>
      <c r="N151" s="8"/>
      <c r="O151" s="8"/>
      <c r="P151" s="8"/>
      <c r="Q151" s="8"/>
      <c r="R151" s="8"/>
      <c r="S151" s="8"/>
      <c r="T151" s="8"/>
      <c r="U151" s="8"/>
    </row>
    <row r="152" spans="1:21" ht="13.8" thickBot="1" x14ac:dyDescent="0.3">
      <c r="B152" s="101"/>
      <c r="C152" s="102" t="s">
        <v>322</v>
      </c>
      <c r="D152" s="101"/>
      <c r="E152" s="101"/>
      <c r="F152" s="115">
        <v>2</v>
      </c>
      <c r="G152" s="104" t="s">
        <v>22</v>
      </c>
      <c r="H152" s="117">
        <v>14.5</v>
      </c>
      <c r="I152" s="104" t="s">
        <v>11</v>
      </c>
      <c r="J152" s="116"/>
      <c r="K152" s="104" t="s">
        <v>22</v>
      </c>
      <c r="L152" s="117">
        <v>14.5</v>
      </c>
      <c r="M152" s="104" t="s">
        <v>11</v>
      </c>
    </row>
    <row r="153" spans="1:21" ht="13.8" thickBot="1" x14ac:dyDescent="0.3">
      <c r="B153" s="101"/>
      <c r="C153" s="102" t="s">
        <v>321</v>
      </c>
      <c r="D153" s="101"/>
      <c r="E153" s="101"/>
      <c r="F153" s="115">
        <v>3</v>
      </c>
      <c r="G153" s="104" t="s">
        <v>22</v>
      </c>
      <c r="H153" s="114">
        <f>$H$152</f>
        <v>14.5</v>
      </c>
      <c r="I153" s="104" t="s">
        <v>11</v>
      </c>
      <c r="J153" s="116"/>
      <c r="K153" s="104" t="s">
        <v>22</v>
      </c>
      <c r="L153" s="114">
        <f>$L$152</f>
        <v>14.5</v>
      </c>
      <c r="M153" s="104" t="s">
        <v>11</v>
      </c>
    </row>
    <row r="154" spans="1:21" ht="13.8" thickBot="1" x14ac:dyDescent="0.3">
      <c r="B154" s="101"/>
      <c r="C154" s="102" t="s">
        <v>308</v>
      </c>
      <c r="D154" s="101"/>
      <c r="E154" s="101"/>
      <c r="F154" s="115">
        <v>6</v>
      </c>
      <c r="G154" s="104" t="s">
        <v>22</v>
      </c>
      <c r="H154" s="114">
        <f t="shared" ref="H154:H168" si="16">$H$152</f>
        <v>14.5</v>
      </c>
      <c r="I154" s="104" t="s">
        <v>11</v>
      </c>
      <c r="J154" s="116"/>
      <c r="K154" s="104" t="s">
        <v>22</v>
      </c>
      <c r="L154" s="114">
        <f t="shared" ref="L154:L168" si="17">$L$152</f>
        <v>14.5</v>
      </c>
      <c r="M154" s="104" t="s">
        <v>11</v>
      </c>
    </row>
    <row r="155" spans="1:21" ht="13.8" thickBot="1" x14ac:dyDescent="0.3">
      <c r="B155" s="101"/>
      <c r="C155" s="102" t="s">
        <v>311</v>
      </c>
      <c r="D155" s="101"/>
      <c r="E155" s="101"/>
      <c r="F155" s="115">
        <v>5</v>
      </c>
      <c r="G155" s="104" t="s">
        <v>22</v>
      </c>
      <c r="H155" s="114">
        <f t="shared" si="16"/>
        <v>14.5</v>
      </c>
      <c r="I155" s="104" t="s">
        <v>11</v>
      </c>
      <c r="J155" s="116">
        <v>10</v>
      </c>
      <c r="K155" s="104" t="s">
        <v>22</v>
      </c>
      <c r="L155" s="114">
        <f t="shared" si="17"/>
        <v>14.5</v>
      </c>
      <c r="M155" s="104" t="s">
        <v>11</v>
      </c>
    </row>
    <row r="156" spans="1:21" ht="13.8" thickBot="1" x14ac:dyDescent="0.3">
      <c r="B156" s="101"/>
      <c r="C156" s="102" t="s">
        <v>312</v>
      </c>
      <c r="D156" s="101"/>
      <c r="E156" s="101"/>
      <c r="F156" s="115">
        <v>8</v>
      </c>
      <c r="G156" s="104" t="s">
        <v>22</v>
      </c>
      <c r="H156" s="114">
        <f t="shared" si="16"/>
        <v>14.5</v>
      </c>
      <c r="I156" s="104" t="s">
        <v>11</v>
      </c>
      <c r="J156" s="116"/>
      <c r="K156" s="104" t="s">
        <v>22</v>
      </c>
      <c r="L156" s="114">
        <f t="shared" si="17"/>
        <v>14.5</v>
      </c>
      <c r="M156" s="104" t="s">
        <v>11</v>
      </c>
    </row>
    <row r="157" spans="1:21" ht="13.8" thickBot="1" x14ac:dyDescent="0.3">
      <c r="B157" s="101"/>
      <c r="C157" s="102" t="s">
        <v>315</v>
      </c>
      <c r="D157" s="101"/>
      <c r="E157" s="101"/>
      <c r="F157" s="115">
        <v>4</v>
      </c>
      <c r="G157" s="104" t="s">
        <v>22</v>
      </c>
      <c r="H157" s="114">
        <f t="shared" si="16"/>
        <v>14.5</v>
      </c>
      <c r="I157" s="104" t="s">
        <v>11</v>
      </c>
      <c r="J157" s="116"/>
      <c r="K157" s="104" t="s">
        <v>22</v>
      </c>
      <c r="L157" s="114">
        <f t="shared" si="17"/>
        <v>14.5</v>
      </c>
      <c r="M157" s="104" t="s">
        <v>11</v>
      </c>
    </row>
    <row r="158" spans="1:21" s="8" customFormat="1" ht="13.8" thickBot="1" x14ac:dyDescent="0.3">
      <c r="A158" s="586"/>
      <c r="B158" s="101"/>
      <c r="C158" s="102" t="s">
        <v>313</v>
      </c>
      <c r="D158" s="101"/>
      <c r="E158" s="101"/>
      <c r="F158" s="115">
        <v>20</v>
      </c>
      <c r="G158" s="104" t="s">
        <v>22</v>
      </c>
      <c r="H158" s="114">
        <f t="shared" si="16"/>
        <v>14.5</v>
      </c>
      <c r="I158" s="104" t="s">
        <v>11</v>
      </c>
      <c r="J158" s="116"/>
      <c r="K158" s="104" t="s">
        <v>22</v>
      </c>
      <c r="L158" s="114">
        <f t="shared" si="17"/>
        <v>14.5</v>
      </c>
      <c r="M158" s="104" t="s">
        <v>11</v>
      </c>
      <c r="N158"/>
      <c r="O158"/>
      <c r="P158"/>
      <c r="Q158"/>
      <c r="R158"/>
      <c r="S158"/>
      <c r="T158"/>
      <c r="U158"/>
    </row>
    <row r="159" spans="1:21" ht="13.8" thickBot="1" x14ac:dyDescent="0.3">
      <c r="B159" s="101"/>
      <c r="C159" s="102" t="s">
        <v>314</v>
      </c>
      <c r="D159" s="101"/>
      <c r="E159" s="101"/>
      <c r="F159" s="115">
        <v>4</v>
      </c>
      <c r="G159" s="104" t="s">
        <v>22</v>
      </c>
      <c r="H159" s="114">
        <f t="shared" si="16"/>
        <v>14.5</v>
      </c>
      <c r="I159" s="104" t="s">
        <v>11</v>
      </c>
      <c r="J159" s="116"/>
      <c r="K159" s="104" t="s">
        <v>22</v>
      </c>
      <c r="L159" s="114">
        <f t="shared" si="17"/>
        <v>14.5</v>
      </c>
      <c r="M159" s="104" t="s">
        <v>11</v>
      </c>
    </row>
    <row r="160" spans="1:21" ht="13.8" thickBot="1" x14ac:dyDescent="0.3">
      <c r="B160" s="101"/>
      <c r="C160" s="102" t="s">
        <v>316</v>
      </c>
      <c r="D160" s="101"/>
      <c r="E160" s="101"/>
      <c r="F160" s="115">
        <v>4</v>
      </c>
      <c r="G160" s="104" t="s">
        <v>22</v>
      </c>
      <c r="H160" s="114">
        <f t="shared" si="16"/>
        <v>14.5</v>
      </c>
      <c r="I160" s="104" t="s">
        <v>11</v>
      </c>
      <c r="J160" s="116"/>
      <c r="K160" s="104" t="s">
        <v>22</v>
      </c>
      <c r="L160" s="114">
        <f t="shared" si="17"/>
        <v>14.5</v>
      </c>
      <c r="M160" s="104" t="s">
        <v>11</v>
      </c>
      <c r="N160" s="8"/>
      <c r="O160" s="8"/>
      <c r="P160" s="8"/>
      <c r="Q160" s="8"/>
      <c r="R160" s="8"/>
      <c r="S160" s="8"/>
      <c r="T160" s="8"/>
      <c r="U160" s="8"/>
    </row>
    <row r="161" spans="2:21" ht="13.8" thickBot="1" x14ac:dyDescent="0.3">
      <c r="B161" s="101"/>
      <c r="C161" s="102" t="s">
        <v>317</v>
      </c>
      <c r="D161" s="101"/>
      <c r="E161" s="101"/>
      <c r="F161" s="115">
        <v>8</v>
      </c>
      <c r="G161" s="104" t="s">
        <v>22</v>
      </c>
      <c r="H161" s="114">
        <f t="shared" si="16"/>
        <v>14.5</v>
      </c>
      <c r="I161" s="104" t="s">
        <v>11</v>
      </c>
      <c r="J161" s="116"/>
      <c r="K161" s="104" t="s">
        <v>22</v>
      </c>
      <c r="L161" s="114">
        <f t="shared" si="17"/>
        <v>14.5</v>
      </c>
      <c r="M161" s="104" t="s">
        <v>11</v>
      </c>
    </row>
    <row r="162" spans="2:21" ht="13.8" thickBot="1" x14ac:dyDescent="0.3">
      <c r="B162" s="101"/>
      <c r="C162" s="102" t="s">
        <v>132</v>
      </c>
      <c r="D162" s="101"/>
      <c r="E162" s="101"/>
      <c r="F162" s="115">
        <v>20</v>
      </c>
      <c r="G162" s="104" t="s">
        <v>22</v>
      </c>
      <c r="H162" s="114">
        <f t="shared" si="16"/>
        <v>14.5</v>
      </c>
      <c r="I162" s="104" t="s">
        <v>11</v>
      </c>
      <c r="J162" s="116">
        <v>20</v>
      </c>
      <c r="K162" s="104" t="s">
        <v>22</v>
      </c>
      <c r="L162" s="114">
        <f t="shared" si="17"/>
        <v>14.5</v>
      </c>
      <c r="M162" s="104" t="s">
        <v>11</v>
      </c>
    </row>
    <row r="163" spans="2:21" ht="13.8" thickBot="1" x14ac:dyDescent="0.3">
      <c r="B163" s="101"/>
      <c r="C163" s="102" t="s">
        <v>318</v>
      </c>
      <c r="D163" s="101"/>
      <c r="E163" s="101"/>
      <c r="F163" s="115">
        <v>10</v>
      </c>
      <c r="G163" s="104" t="s">
        <v>22</v>
      </c>
      <c r="H163" s="114">
        <f t="shared" si="16"/>
        <v>14.5</v>
      </c>
      <c r="I163" s="104" t="s">
        <v>11</v>
      </c>
      <c r="J163" s="116"/>
      <c r="K163" s="104" t="s">
        <v>22</v>
      </c>
      <c r="L163" s="114">
        <f t="shared" si="17"/>
        <v>14.5</v>
      </c>
      <c r="M163" s="104" t="s">
        <v>11</v>
      </c>
    </row>
    <row r="164" spans="2:21" ht="13.8" thickBot="1" x14ac:dyDescent="0.3">
      <c r="B164" s="101"/>
      <c r="C164" s="102" t="s">
        <v>319</v>
      </c>
      <c r="D164" s="101"/>
      <c r="E164" s="101"/>
      <c r="F164" s="116">
        <v>40</v>
      </c>
      <c r="G164" s="104" t="s">
        <v>22</v>
      </c>
      <c r="H164" s="114">
        <f t="shared" si="16"/>
        <v>14.5</v>
      </c>
      <c r="I164" s="104" t="s">
        <v>11</v>
      </c>
      <c r="J164" s="116">
        <v>40</v>
      </c>
      <c r="K164" s="104" t="s">
        <v>22</v>
      </c>
      <c r="L164" s="114">
        <f t="shared" si="17"/>
        <v>14.5</v>
      </c>
      <c r="M164" s="104" t="s">
        <v>11</v>
      </c>
    </row>
    <row r="165" spans="2:21" ht="13.8" thickBot="1" x14ac:dyDescent="0.3">
      <c r="B165" s="101"/>
      <c r="C165" s="102" t="s">
        <v>306</v>
      </c>
      <c r="D165" s="101"/>
      <c r="E165" s="101"/>
      <c r="F165" s="116">
        <v>10</v>
      </c>
      <c r="G165" s="104" t="s">
        <v>22</v>
      </c>
      <c r="H165" s="114">
        <f t="shared" si="16"/>
        <v>14.5</v>
      </c>
      <c r="I165" s="104" t="s">
        <v>11</v>
      </c>
      <c r="J165" s="116"/>
      <c r="K165" s="104" t="s">
        <v>22</v>
      </c>
      <c r="L165" s="114">
        <f t="shared" si="17"/>
        <v>14.5</v>
      </c>
      <c r="M165" s="104" t="s">
        <v>11</v>
      </c>
    </row>
    <row r="166" spans="2:21" ht="13.8" thickBot="1" x14ac:dyDescent="0.3">
      <c r="B166" s="101"/>
      <c r="C166" s="102" t="s">
        <v>305</v>
      </c>
      <c r="D166" s="101"/>
      <c r="E166" s="101"/>
      <c r="F166" s="116"/>
      <c r="G166" s="104" t="s">
        <v>22</v>
      </c>
      <c r="H166" s="114">
        <f t="shared" si="16"/>
        <v>14.5</v>
      </c>
      <c r="I166" s="104" t="s">
        <v>11</v>
      </c>
      <c r="J166" s="97"/>
      <c r="K166" s="104" t="s">
        <v>22</v>
      </c>
      <c r="L166" s="114">
        <f t="shared" si="17"/>
        <v>14.5</v>
      </c>
      <c r="M166" s="104" t="s">
        <v>11</v>
      </c>
    </row>
    <row r="167" spans="2:21" ht="13.8" thickBot="1" x14ac:dyDescent="0.3">
      <c r="B167" s="101"/>
      <c r="C167" s="102" t="s">
        <v>305</v>
      </c>
      <c r="D167" s="101"/>
      <c r="E167" s="101"/>
      <c r="F167" s="116"/>
      <c r="G167" s="104" t="s">
        <v>22</v>
      </c>
      <c r="H167" s="114">
        <f t="shared" si="16"/>
        <v>14.5</v>
      </c>
      <c r="I167" s="104" t="s">
        <v>11</v>
      </c>
      <c r="J167" s="97"/>
      <c r="K167" s="104" t="s">
        <v>22</v>
      </c>
      <c r="L167" s="114">
        <f t="shared" si="17"/>
        <v>14.5</v>
      </c>
      <c r="M167" s="104" t="s">
        <v>11</v>
      </c>
    </row>
    <row r="168" spans="2:21" ht="13.8" thickBot="1" x14ac:dyDescent="0.3">
      <c r="B168" s="101"/>
      <c r="C168" s="102" t="s">
        <v>305</v>
      </c>
      <c r="D168" s="103"/>
      <c r="E168" s="103"/>
      <c r="F168" s="97"/>
      <c r="G168" s="104" t="s">
        <v>22</v>
      </c>
      <c r="H168" s="114">
        <f t="shared" si="16"/>
        <v>14.5</v>
      </c>
      <c r="I168" s="104" t="s">
        <v>11</v>
      </c>
      <c r="J168" s="97"/>
      <c r="K168" s="104" t="s">
        <v>22</v>
      </c>
      <c r="L168" s="114">
        <f t="shared" si="17"/>
        <v>14.5</v>
      </c>
      <c r="M168" s="104" t="s">
        <v>11</v>
      </c>
    </row>
    <row r="169" spans="2:21" x14ac:dyDescent="0.25">
      <c r="B169" s="264"/>
      <c r="C169" s="265" t="s">
        <v>196</v>
      </c>
      <c r="D169" s="266"/>
      <c r="E169" s="266"/>
      <c r="F169" s="267">
        <f>SUM(F152:F168)</f>
        <v>144</v>
      </c>
      <c r="G169" s="264" t="s">
        <v>22</v>
      </c>
      <c r="H169" s="268">
        <f>F169*H152</f>
        <v>2088</v>
      </c>
      <c r="I169" s="264" t="s">
        <v>14</v>
      </c>
      <c r="J169" s="269">
        <f>SUM(J152:J168)</f>
        <v>70</v>
      </c>
      <c r="K169" s="264" t="s">
        <v>22</v>
      </c>
      <c r="L169" s="268">
        <f>J169*L152</f>
        <v>1015</v>
      </c>
      <c r="M169" s="264" t="s">
        <v>14</v>
      </c>
    </row>
    <row r="171" spans="2:21" ht="40.049999999999997" customHeight="1" x14ac:dyDescent="0.25">
      <c r="N171" s="8"/>
      <c r="O171" s="8"/>
      <c r="P171" s="8"/>
      <c r="Q171" s="8"/>
      <c r="R171" s="8"/>
      <c r="S171" s="8"/>
      <c r="T171" s="8"/>
      <c r="U171" s="8"/>
    </row>
    <row r="174" spans="2:21" ht="37.950000000000003" customHeight="1" x14ac:dyDescent="0.25"/>
    <row r="186" spans="1:21" s="8" customFormat="1" x14ac:dyDescent="0.25">
      <c r="A186" s="586"/>
      <c r="B186"/>
      <c r="C186"/>
      <c r="D186"/>
      <c r="E186"/>
      <c r="F186"/>
      <c r="G186"/>
      <c r="H186"/>
      <c r="I186"/>
      <c r="J186"/>
      <c r="K186"/>
      <c r="L186"/>
      <c r="M186"/>
      <c r="N186"/>
      <c r="O186"/>
      <c r="P186"/>
      <c r="Q186"/>
      <c r="R186"/>
      <c r="S186"/>
      <c r="T186"/>
      <c r="U186"/>
    </row>
    <row r="188" spans="1:21" x14ac:dyDescent="0.25">
      <c r="N188" s="8"/>
      <c r="O188" s="8"/>
      <c r="P188" s="8"/>
      <c r="Q188" s="8"/>
      <c r="R188" s="8"/>
      <c r="S188" s="8"/>
      <c r="T188" s="8"/>
      <c r="U188" s="8"/>
    </row>
  </sheetData>
  <mergeCells count="45">
    <mergeCell ref="F126:G126"/>
    <mergeCell ref="H126:I126"/>
    <mergeCell ref="J126:K126"/>
    <mergeCell ref="B148:M148"/>
    <mergeCell ref="E150:G150"/>
    <mergeCell ref="H150:I150"/>
    <mergeCell ref="J150:K150"/>
    <mergeCell ref="L150:M150"/>
    <mergeCell ref="F105:G105"/>
    <mergeCell ref="H105:I105"/>
    <mergeCell ref="J105:K105"/>
    <mergeCell ref="F118:G118"/>
    <mergeCell ref="H118:I118"/>
    <mergeCell ref="J118:K118"/>
    <mergeCell ref="L69:M69"/>
    <mergeCell ref="F76:G76"/>
    <mergeCell ref="H76:I76"/>
    <mergeCell ref="J76:K76"/>
    <mergeCell ref="F86:G86"/>
    <mergeCell ref="H86:I86"/>
    <mergeCell ref="J86:K86"/>
    <mergeCell ref="F71:G71"/>
    <mergeCell ref="H71:I71"/>
    <mergeCell ref="J71:K71"/>
    <mergeCell ref="C41:D41"/>
    <mergeCell ref="B45:D45"/>
    <mergeCell ref="C48:D48"/>
    <mergeCell ref="B52:C52"/>
    <mergeCell ref="C55:D55"/>
    <mergeCell ref="B57:D57"/>
    <mergeCell ref="B62:D62"/>
    <mergeCell ref="B64:D64"/>
    <mergeCell ref="B66:D66"/>
    <mergeCell ref="B69:E69"/>
    <mergeCell ref="B38:D38"/>
    <mergeCell ref="B4:L4"/>
    <mergeCell ref="O9:Q9"/>
    <mergeCell ref="T9:U9"/>
    <mergeCell ref="B11:D11"/>
    <mergeCell ref="O18:Q18"/>
    <mergeCell ref="B26:E26"/>
    <mergeCell ref="B27:E27"/>
    <mergeCell ref="B28:D28"/>
    <mergeCell ref="B31:C31"/>
    <mergeCell ref="C34:D34"/>
  </mergeCells>
  <hyperlinks>
    <hyperlink ref="L69" location="'Avomaan mansikka'!B2" display="PALAA SIVUN YLÄLAITAAN" xr:uid="{DC6E3799-47F1-6C41-8DD1-4DBC226833FC}"/>
    <hyperlink ref="L69:M69" location="'Planterad grönsak 2'!A1" display="TILL SIDANS BÖRJAN" xr:uid="{213D1C80-642D-554D-9805-A80BFA85D18F}"/>
    <hyperlink ref="B31:C31" location="Ägendom!B13" display="BYGGNADER" xr:uid="{1E80F122-3A1F-4C15-8971-87FE66169149}"/>
    <hyperlink ref="B38:D38" location="Ägendom!B27" display="MASKINER OCH UTRUSTNING" xr:uid="{73E0CF92-D930-49BE-B762-60ED26911923}"/>
    <hyperlink ref="B45:D45" location="Ägendom!B56" display="LÅNGVARIGA PRODUKTIONSMEDEL" xr:uid="{277AE4B1-5A2A-4887-A6C3-AE0AE77EA7C2}"/>
    <hyperlink ref="B52:C52" location="Ägendom!B79" display="TÄCKDIKEN" xr:uid="{87E64C9F-C6F8-4DB6-BF10-8C8497957043}"/>
    <hyperlink ref="B2" location="'Gårdens info'!A1" display="ÅTERGÅ TILL FRAMSIDAN" xr:uid="{61480313-C644-41FD-A886-B32EA7A7CE4B}"/>
    <hyperlink ref="B26:E26" location="'Gårdens info'!A131" display="ALLMÄNNA KOSTNADER, grönsakens andel" xr:uid="{A50714C6-89DC-4479-BDD9-C9A078E99255}"/>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37E2A-0612-1B46-9504-24BA76866602}">
  <sheetPr>
    <tabColor theme="7" tint="0.39997558519241921"/>
  </sheetPr>
  <dimension ref="A1:AC188"/>
  <sheetViews>
    <sheetView topLeftCell="M24" workbookViewId="0">
      <selection activeCell="AB43" sqref="AB43"/>
    </sheetView>
  </sheetViews>
  <sheetFormatPr defaultColWidth="11.44140625" defaultRowHeight="13.2" x14ac:dyDescent="0.25"/>
  <cols>
    <col min="1" max="1" width="5.33203125" style="790" customWidth="1"/>
    <col min="3" max="3" width="16.77734375" customWidth="1"/>
    <col min="4" max="4" width="22.6640625" customWidth="1"/>
    <col min="5" max="5" width="12.109375" bestFit="1" customWidth="1"/>
    <col min="6" max="6" width="20.6640625" bestFit="1" customWidth="1"/>
    <col min="7" max="7" width="6.33203125" customWidth="1"/>
    <col min="9" max="9" width="6" customWidth="1"/>
    <col min="10" max="10" width="15.109375" customWidth="1"/>
    <col min="11" max="11" width="9.6640625" customWidth="1"/>
    <col min="12" max="12" width="20" customWidth="1"/>
    <col min="13" max="13" width="12.109375" customWidth="1"/>
    <col min="14" max="14" width="9.44140625" customWidth="1"/>
    <col min="15" max="15" width="8" customWidth="1"/>
    <col min="16" max="16" width="4.44140625" customWidth="1"/>
    <col min="17" max="17" width="15" customWidth="1"/>
    <col min="18" max="18" width="5.109375" customWidth="1"/>
    <col min="19" max="19" width="18.33203125" bestFit="1" customWidth="1"/>
    <col min="29" max="29" width="22.109375" customWidth="1"/>
  </cols>
  <sheetData>
    <row r="1" spans="1:21" s="790" customFormat="1" ht="22.8" x14ac:dyDescent="0.4">
      <c r="B1" s="798" t="s">
        <v>259</v>
      </c>
    </row>
    <row r="2" spans="1:21" ht="27" customHeight="1" x14ac:dyDescent="0.3">
      <c r="B2" s="852" t="s">
        <v>337</v>
      </c>
      <c r="C2" s="852"/>
      <c r="F2" s="91"/>
      <c r="G2" s="91"/>
      <c r="H2" s="91"/>
    </row>
    <row r="3" spans="1:21" ht="27" customHeight="1" x14ac:dyDescent="0.3">
      <c r="B3" s="839"/>
      <c r="C3" s="839"/>
    </row>
    <row r="4" spans="1:21" ht="36" customHeight="1" x14ac:dyDescent="0.3">
      <c r="B4" s="942" t="s">
        <v>236</v>
      </c>
      <c r="C4" s="942"/>
      <c r="D4" s="942"/>
      <c r="E4" s="942"/>
      <c r="F4" s="942"/>
      <c r="G4" s="942"/>
      <c r="H4" s="942"/>
      <c r="I4" s="942"/>
      <c r="J4" s="942"/>
      <c r="K4" s="942"/>
      <c r="L4" s="942"/>
    </row>
    <row r="5" spans="1:21" ht="27" customHeight="1" thickBot="1" x14ac:dyDescent="0.35">
      <c r="B5" s="759"/>
      <c r="C5" s="759"/>
    </row>
    <row r="6" spans="1:21" ht="27" customHeight="1" x14ac:dyDescent="0.4">
      <c r="B6" s="318" t="s">
        <v>258</v>
      </c>
      <c r="C6" s="282"/>
      <c r="D6" s="283"/>
      <c r="E6" s="283"/>
      <c r="F6" s="283"/>
      <c r="G6" s="283"/>
      <c r="H6" s="283"/>
      <c r="I6" s="283"/>
      <c r="J6" s="283"/>
      <c r="K6" s="283"/>
      <c r="L6" s="283"/>
      <c r="M6" s="284"/>
      <c r="N6" s="441"/>
      <c r="O6" s="283"/>
      <c r="P6" s="283"/>
      <c r="Q6" s="283"/>
      <c r="R6" s="283"/>
      <c r="S6" s="283"/>
      <c r="T6" s="283"/>
      <c r="U6" s="284"/>
    </row>
    <row r="7" spans="1:21" ht="27" customHeight="1" x14ac:dyDescent="0.4">
      <c r="B7" s="285"/>
      <c r="C7" s="286"/>
      <c r="D7" s="148"/>
      <c r="E7" s="148"/>
      <c r="F7" s="148"/>
      <c r="G7" s="148"/>
      <c r="H7" s="148"/>
      <c r="I7" s="148"/>
      <c r="J7" s="148"/>
      <c r="K7" s="148"/>
      <c r="L7" s="148"/>
      <c r="M7" s="287"/>
      <c r="N7" s="442"/>
      <c r="O7" s="148"/>
      <c r="P7" s="148"/>
      <c r="Q7" s="148"/>
      <c r="R7" s="148"/>
      <c r="S7" s="148"/>
      <c r="T7" s="148"/>
      <c r="U7" s="287"/>
    </row>
    <row r="8" spans="1:21" ht="21" x14ac:dyDescent="0.4">
      <c r="B8" s="319" t="s">
        <v>238</v>
      </c>
      <c r="C8" s="286"/>
      <c r="D8" s="148"/>
      <c r="E8" s="151"/>
      <c r="F8" s="151"/>
      <c r="G8" s="151"/>
      <c r="H8" s="151"/>
      <c r="I8" s="148"/>
      <c r="J8" s="148"/>
      <c r="K8" s="148"/>
      <c r="L8" s="148"/>
      <c r="M8" s="287"/>
      <c r="N8" s="319" t="s">
        <v>239</v>
      </c>
      <c r="O8" s="148"/>
      <c r="P8" s="148"/>
      <c r="Q8" s="148"/>
      <c r="R8" s="148"/>
      <c r="S8" s="148"/>
      <c r="T8" s="148"/>
      <c r="U8" s="300"/>
    </row>
    <row r="9" spans="1:21" ht="21" customHeight="1" thickBot="1" x14ac:dyDescent="0.35">
      <c r="B9" s="288"/>
      <c r="C9" s="289" t="s">
        <v>239</v>
      </c>
      <c r="D9" s="151"/>
      <c r="E9" s="151"/>
      <c r="F9" s="290">
        <f>H9*'Gårdens info'!G18</f>
        <v>0</v>
      </c>
      <c r="G9" s="151" t="s">
        <v>14</v>
      </c>
      <c r="H9" s="619">
        <f>IF('Gårdens info'!G18&gt;0,(('Gårdens info'!D18*'Gårdens info'!G18*S10*T10)+('Gårdens info'!D18*'Gårdens info'!G18*S11*T11)+('Gårdens info'!D18*'Gårdens info'!G18*S12*T12)+('Gårdens info'!D18*'Gårdens info'!G18*S13*T13)+('Gårdens info'!D18*'Gårdens info'!G18*S14*T14)+('Gårdens info'!D18*'Gårdens info'!G18*S15*T15)+('Gårdens info'!D18*'Gårdens info'!G18*S16*T16)+('Gårdens info'!D18*'Gårdens info'!G18*S17*T17))/(('Gårdens info'!D18*'Gårdens info'!G18)),0)</f>
        <v>0</v>
      </c>
      <c r="I9" s="151" t="s">
        <v>6</v>
      </c>
      <c r="J9" s="290">
        <f>F9*'Gårdens info'!D18</f>
        <v>0</v>
      </c>
      <c r="K9" s="151" t="s">
        <v>365</v>
      </c>
      <c r="L9" s="151"/>
      <c r="M9" s="287"/>
      <c r="N9" s="442"/>
      <c r="O9" s="943" t="s">
        <v>366</v>
      </c>
      <c r="P9" s="943"/>
      <c r="Q9" s="943"/>
      <c r="R9" s="760"/>
      <c r="S9" s="444" t="s">
        <v>339</v>
      </c>
      <c r="T9" s="967" t="s">
        <v>340</v>
      </c>
      <c r="U9" s="968"/>
    </row>
    <row r="10" spans="1:21" ht="15.6" thickBot="1" x14ac:dyDescent="0.3">
      <c r="B10" s="288"/>
      <c r="C10" s="151" t="s">
        <v>224</v>
      </c>
      <c r="D10" s="151"/>
      <c r="E10" s="151"/>
      <c r="F10" s="290">
        <f>IF('Gårdens info'!D18&gt;0,Stöd!J6/'Gårdens info'!D37*Stöd!L6+Stöd!J7/'Gårdens info'!D37*Stöd!L7+Stöd!J8/'Gårdens info'!D37*Stöd!L8+Stöd!J12/'Gårdens info'!D37*Stöd!L12+Stöd!J16/'Gårdens info'!D37*Stöd!L16+Stöd!J18/'Gårdens info'!D37*Stöd!L18+Stöd!J19/'Gårdens info'!D37*Stöd!L19+Stöd!J20/'Gårdens info'!D37*Stöd!L20+Stöd!J21/'Gårdens info'!D37*Stöd!L21,0)</f>
        <v>0</v>
      </c>
      <c r="G10" s="151" t="s">
        <v>14</v>
      </c>
      <c r="H10" s="619">
        <f>IF('Gårdens info'!G18&gt;0,F10/'Gårdens info'!G18,0)</f>
        <v>0</v>
      </c>
      <c r="I10" s="151" t="s">
        <v>6</v>
      </c>
      <c r="J10" s="290">
        <f>F10*'Gårdens info'!D18</f>
        <v>0</v>
      </c>
      <c r="K10" s="151" t="s">
        <v>365</v>
      </c>
      <c r="L10" s="151"/>
      <c r="M10" s="287"/>
      <c r="N10" s="442"/>
      <c r="O10" s="151">
        <v>1</v>
      </c>
      <c r="P10" s="151" t="s">
        <v>21</v>
      </c>
      <c r="Q10" s="151" t="s">
        <v>333</v>
      </c>
      <c r="R10" s="151"/>
      <c r="S10" s="452">
        <v>0</v>
      </c>
      <c r="T10" s="317"/>
      <c r="U10" s="300" t="s">
        <v>6</v>
      </c>
    </row>
    <row r="11" spans="1:21" s="8" customFormat="1" ht="21.6" customHeight="1" thickBot="1" x14ac:dyDescent="0.45">
      <c r="A11" s="791"/>
      <c r="B11" s="932" t="s">
        <v>240</v>
      </c>
      <c r="C11" s="933"/>
      <c r="D11" s="933"/>
      <c r="E11" s="324"/>
      <c r="F11" s="328">
        <f>F9+F10</f>
        <v>0</v>
      </c>
      <c r="G11" s="329" t="s">
        <v>14</v>
      </c>
      <c r="H11" s="618">
        <f>H9+H10</f>
        <v>0</v>
      </c>
      <c r="I11" s="329" t="s">
        <v>6</v>
      </c>
      <c r="J11" s="331">
        <f>J9+J10</f>
        <v>0</v>
      </c>
      <c r="K11" s="329" t="s">
        <v>365</v>
      </c>
      <c r="L11" s="329"/>
      <c r="M11" s="321"/>
      <c r="N11" s="445"/>
      <c r="O11" s="151">
        <v>0.25</v>
      </c>
      <c r="P11" s="151" t="s">
        <v>21</v>
      </c>
      <c r="Q11" s="151" t="s">
        <v>334</v>
      </c>
      <c r="R11" s="151"/>
      <c r="S11" s="454">
        <v>0</v>
      </c>
      <c r="T11" s="317"/>
      <c r="U11" s="300" t="s">
        <v>6</v>
      </c>
    </row>
    <row r="12" spans="1:21" s="8" customFormat="1" ht="21.6" thickBot="1" x14ac:dyDescent="0.45">
      <c r="A12" s="791"/>
      <c r="B12" s="832"/>
      <c r="C12" s="833"/>
      <c r="D12" s="833"/>
      <c r="E12" s="324"/>
      <c r="F12" s="328"/>
      <c r="G12" s="329"/>
      <c r="H12" s="330"/>
      <c r="I12" s="329"/>
      <c r="J12" s="331"/>
      <c r="K12" s="329"/>
      <c r="L12" s="329"/>
      <c r="M12" s="321"/>
      <c r="N12" s="445"/>
      <c r="O12" s="151">
        <v>0.5</v>
      </c>
      <c r="P12" s="151" t="s">
        <v>21</v>
      </c>
      <c r="Q12" s="151" t="s">
        <v>333</v>
      </c>
      <c r="R12" s="151"/>
      <c r="S12" s="454">
        <v>0</v>
      </c>
      <c r="T12" s="317"/>
      <c r="U12" s="300" t="s">
        <v>6</v>
      </c>
    </row>
    <row r="13" spans="1:21" ht="22.05" customHeight="1" thickBot="1" x14ac:dyDescent="0.35">
      <c r="B13" s="292"/>
      <c r="C13" s="286"/>
      <c r="D13" s="148"/>
      <c r="E13" s="148"/>
      <c r="F13" s="148"/>
      <c r="G13" s="148"/>
      <c r="H13" s="148"/>
      <c r="I13" s="148"/>
      <c r="J13" s="293"/>
      <c r="K13" s="148"/>
      <c r="L13" s="148"/>
      <c r="M13" s="287"/>
      <c r="N13" s="442"/>
      <c r="O13" s="151">
        <v>10</v>
      </c>
      <c r="P13" s="151" t="s">
        <v>21</v>
      </c>
      <c r="Q13" s="151" t="s">
        <v>335</v>
      </c>
      <c r="R13" s="151"/>
      <c r="S13" s="454">
        <v>1</v>
      </c>
      <c r="T13" s="317">
        <v>0.76</v>
      </c>
      <c r="U13" s="300" t="s">
        <v>6</v>
      </c>
    </row>
    <row r="14" spans="1:21" ht="21.6" thickBot="1" x14ac:dyDescent="0.45">
      <c r="B14" s="319" t="s">
        <v>241</v>
      </c>
      <c r="C14" s="286"/>
      <c r="D14" s="148"/>
      <c r="E14" s="148"/>
      <c r="F14" s="148"/>
      <c r="G14" s="148"/>
      <c r="H14" s="148"/>
      <c r="I14" s="148"/>
      <c r="J14" s="293"/>
      <c r="K14" s="148"/>
      <c r="L14" s="148"/>
      <c r="M14" s="287"/>
      <c r="N14" s="442"/>
      <c r="O14" s="812">
        <f>D111</f>
        <v>0</v>
      </c>
      <c r="P14" s="151" t="s">
        <v>21</v>
      </c>
      <c r="Q14" s="362" t="str">
        <f>C111</f>
        <v>förpackning X</v>
      </c>
      <c r="R14" s="151"/>
      <c r="S14" s="454">
        <v>0</v>
      </c>
      <c r="T14" s="317"/>
      <c r="U14" s="300" t="s">
        <v>6</v>
      </c>
    </row>
    <row r="15" spans="1:21" s="77" customFormat="1" ht="16.95" customHeight="1" thickBot="1" x14ac:dyDescent="0.35">
      <c r="A15" s="792"/>
      <c r="B15" s="602"/>
      <c r="C15" s="306"/>
      <c r="D15" s="310"/>
      <c r="E15" s="310"/>
      <c r="F15" s="311"/>
      <c r="G15" s="153"/>
      <c r="H15" s="310"/>
      <c r="I15" s="310"/>
      <c r="J15" s="310"/>
      <c r="K15" s="310"/>
      <c r="L15" s="310"/>
      <c r="M15" s="295"/>
      <c r="N15" s="442"/>
      <c r="O15" s="812">
        <f t="shared" ref="O15:O17" si="0">D112</f>
        <v>0</v>
      </c>
      <c r="P15" s="151" t="s">
        <v>21</v>
      </c>
      <c r="Q15" s="362" t="str">
        <f t="shared" ref="Q15:Q17" si="1">C112</f>
        <v>förpackning X</v>
      </c>
      <c r="R15" s="151"/>
      <c r="S15" s="454">
        <v>0</v>
      </c>
      <c r="T15" s="317"/>
      <c r="U15" s="300" t="s">
        <v>6</v>
      </c>
    </row>
    <row r="16" spans="1:21" s="91" customFormat="1" ht="16.95" customHeight="1" thickBot="1" x14ac:dyDescent="0.3">
      <c r="A16" s="792"/>
      <c r="B16" s="602"/>
      <c r="C16" s="289" t="s">
        <v>243</v>
      </c>
      <c r="D16" s="297"/>
      <c r="E16" s="297"/>
      <c r="F16" s="308">
        <f>IF('Gårdens info'!D18&gt;0,J73,0)</f>
        <v>0</v>
      </c>
      <c r="G16" s="151" t="s">
        <v>14</v>
      </c>
      <c r="H16" s="614">
        <f>IF('Gårdens info'!$G$18&gt;0,F16/'Gårdens info'!$G$18,)</f>
        <v>0</v>
      </c>
      <c r="I16" s="151" t="s">
        <v>6</v>
      </c>
      <c r="J16" s="298">
        <f>F16*'Gårdens info'!$D$18</f>
        <v>0</v>
      </c>
      <c r="K16" s="151" t="s">
        <v>365</v>
      </c>
      <c r="L16" s="297"/>
      <c r="M16" s="300"/>
      <c r="N16" s="288"/>
      <c r="O16" s="812">
        <f t="shared" si="0"/>
        <v>0</v>
      </c>
      <c r="P16" s="151"/>
      <c r="Q16" s="362" t="str">
        <f t="shared" si="1"/>
        <v>förpackning X</v>
      </c>
      <c r="R16" s="151"/>
      <c r="S16" s="454">
        <v>0</v>
      </c>
      <c r="T16" s="317"/>
      <c r="U16" s="300" t="s">
        <v>6</v>
      </c>
    </row>
    <row r="17" spans="1:29" s="91" customFormat="1" ht="15.6" thickBot="1" x14ac:dyDescent="0.3">
      <c r="A17" s="792"/>
      <c r="B17" s="296"/>
      <c r="C17" s="289" t="s">
        <v>244</v>
      </c>
      <c r="D17" s="297"/>
      <c r="E17" s="297"/>
      <c r="F17" s="298">
        <f>IF('Gårdens info'!D18&gt;0,J83,0)</f>
        <v>0</v>
      </c>
      <c r="G17" s="151" t="s">
        <v>14</v>
      </c>
      <c r="H17" s="614">
        <f>IF('Gårdens info'!$G$18&gt;0,F17/'Gårdens info'!$G$18,)</f>
        <v>0</v>
      </c>
      <c r="I17" s="151" t="s">
        <v>6</v>
      </c>
      <c r="J17" s="298">
        <f>F17*'Gårdens info'!$D$18</f>
        <v>0</v>
      </c>
      <c r="K17" s="151" t="s">
        <v>365</v>
      </c>
      <c r="L17" s="297"/>
      <c r="M17" s="300"/>
      <c r="N17" s="442"/>
      <c r="O17" s="812">
        <f t="shared" si="0"/>
        <v>0</v>
      </c>
      <c r="P17" s="151" t="s">
        <v>21</v>
      </c>
      <c r="Q17" s="362" t="str">
        <f t="shared" si="1"/>
        <v>förpackning X</v>
      </c>
      <c r="R17" s="151"/>
      <c r="S17" s="453">
        <v>0</v>
      </c>
      <c r="T17" s="317"/>
      <c r="U17" s="300" t="s">
        <v>6</v>
      </c>
    </row>
    <row r="18" spans="1:29" s="91" customFormat="1" ht="17.399999999999999" x14ac:dyDescent="0.3">
      <c r="A18" s="792"/>
      <c r="B18" s="296"/>
      <c r="C18" s="289" t="s">
        <v>245</v>
      </c>
      <c r="D18" s="297"/>
      <c r="E18" s="297"/>
      <c r="F18" s="298">
        <f>IF('Gårdens info'!D18&gt;0,J102,0)</f>
        <v>0</v>
      </c>
      <c r="G18" s="151" t="s">
        <v>14</v>
      </c>
      <c r="H18" s="614">
        <f>IF('Gårdens info'!$G$18&gt;0,F18/'Gårdens info'!$G$18,)</f>
        <v>0</v>
      </c>
      <c r="I18" s="151" t="s">
        <v>6</v>
      </c>
      <c r="J18" s="298">
        <f>F18*'Gårdens info'!$D$18</f>
        <v>0</v>
      </c>
      <c r="K18" s="151" t="s">
        <v>365</v>
      </c>
      <c r="L18" s="297"/>
      <c r="M18" s="300"/>
      <c r="N18" s="446"/>
      <c r="O18" s="946" t="s">
        <v>196</v>
      </c>
      <c r="P18" s="946"/>
      <c r="Q18" s="946"/>
      <c r="R18" s="153"/>
      <c r="S18" s="450">
        <f>SUM(S10:S17)</f>
        <v>1</v>
      </c>
      <c r="T18" s="153"/>
      <c r="U18" s="295"/>
    </row>
    <row r="19" spans="1:29" s="91" customFormat="1" ht="15.6" x14ac:dyDescent="0.3">
      <c r="A19" s="792"/>
      <c r="B19" s="296"/>
      <c r="C19" s="289" t="s">
        <v>246</v>
      </c>
      <c r="D19" s="297"/>
      <c r="E19" s="297"/>
      <c r="F19" s="298">
        <f>IF('Gårdens info'!D18&gt;0,J115,0)</f>
        <v>0</v>
      </c>
      <c r="G19" s="151" t="s">
        <v>14</v>
      </c>
      <c r="H19" s="614">
        <f>IF('Gårdens info'!$G$18&gt;0,F19/'Gårdens info'!$G$18,)</f>
        <v>0</v>
      </c>
      <c r="I19" s="151" t="s">
        <v>6</v>
      </c>
      <c r="J19" s="298">
        <f>F19*'Gårdens info'!$D$18</f>
        <v>0</v>
      </c>
      <c r="K19" s="151" t="s">
        <v>365</v>
      </c>
      <c r="L19" s="297"/>
      <c r="M19" s="300"/>
      <c r="N19" s="288"/>
      <c r="O19" s="451" t="str">
        <f>IF(S18=100%," ","HUOM! Osuus myyynneistä pitää summautua 100 prosenttiin")</f>
        <v xml:space="preserve"> </v>
      </c>
      <c r="P19" s="151"/>
      <c r="R19" s="151"/>
      <c r="S19" s="151"/>
      <c r="T19" s="151"/>
      <c r="U19" s="300"/>
    </row>
    <row r="20" spans="1:29" s="91" customFormat="1" ht="15.6" thickBot="1" x14ac:dyDescent="0.3">
      <c r="A20" s="792"/>
      <c r="B20" s="296"/>
      <c r="C20" s="289" t="s">
        <v>247</v>
      </c>
      <c r="D20" s="297"/>
      <c r="E20" s="297"/>
      <c r="F20" s="298">
        <f>IF('Gårdens info'!D18&gt;0,J123,0)</f>
        <v>0</v>
      </c>
      <c r="G20" s="151" t="s">
        <v>14</v>
      </c>
      <c r="H20" s="614">
        <f>IF('Gårdens info'!$G$18&gt;0,F20/'Gårdens info'!$G$18,)</f>
        <v>0</v>
      </c>
      <c r="I20" s="151" t="s">
        <v>6</v>
      </c>
      <c r="J20" s="298">
        <f>F20*'Gårdens info'!$D$18</f>
        <v>0</v>
      </c>
      <c r="K20" s="151" t="s">
        <v>365</v>
      </c>
      <c r="L20" s="297"/>
      <c r="M20" s="300"/>
      <c r="N20" s="447"/>
      <c r="O20" s="448"/>
      <c r="P20" s="448"/>
      <c r="Q20" s="448"/>
      <c r="R20" s="448"/>
      <c r="S20" s="448"/>
      <c r="T20" s="448"/>
      <c r="U20" s="449"/>
    </row>
    <row r="21" spans="1:29" s="91" customFormat="1" ht="15" x14ac:dyDescent="0.25">
      <c r="A21" s="792"/>
      <c r="B21" s="296"/>
      <c r="C21" s="289" t="s">
        <v>248</v>
      </c>
      <c r="D21" s="297"/>
      <c r="E21" s="297"/>
      <c r="F21" s="298">
        <f>IF('Gårdens info'!D18&gt;0,J131,0)</f>
        <v>0</v>
      </c>
      <c r="G21" s="151" t="s">
        <v>14</v>
      </c>
      <c r="H21" s="614">
        <f>IF('Gårdens info'!$G$18&gt;0,F21/'Gårdens info'!$G$18,)</f>
        <v>0</v>
      </c>
      <c r="I21" s="151" t="s">
        <v>6</v>
      </c>
      <c r="J21" s="298">
        <f>F21*'Gårdens info'!$D$18</f>
        <v>0</v>
      </c>
      <c r="K21" s="151" t="s">
        <v>365</v>
      </c>
      <c r="L21" s="297"/>
      <c r="M21" s="300"/>
    </row>
    <row r="22" spans="1:29" s="91" customFormat="1" ht="15" x14ac:dyDescent="0.25">
      <c r="A22" s="792"/>
      <c r="B22" s="296"/>
      <c r="C22" s="289" t="s">
        <v>249</v>
      </c>
      <c r="D22" s="297"/>
      <c r="E22" s="297"/>
      <c r="F22" s="298">
        <f>IF('Gårdens info'!D18&gt;0,J143,0)</f>
        <v>0</v>
      </c>
      <c r="G22" s="151" t="s">
        <v>14</v>
      </c>
      <c r="H22" s="614">
        <f>IF('Gårdens info'!$G$18&gt;0,F22/'Gårdens info'!$G$18,)</f>
        <v>0</v>
      </c>
      <c r="I22" s="151" t="s">
        <v>6</v>
      </c>
      <c r="J22" s="298">
        <f>F22*'Gårdens info'!$D$18</f>
        <v>0</v>
      </c>
      <c r="K22" s="151" t="s">
        <v>365</v>
      </c>
      <c r="L22" s="297"/>
      <c r="M22" s="300"/>
    </row>
    <row r="23" spans="1:29" s="91" customFormat="1" ht="15" x14ac:dyDescent="0.25">
      <c r="A23" s="792"/>
      <c r="B23" s="296"/>
      <c r="C23" s="289" t="s">
        <v>250</v>
      </c>
      <c r="D23" s="297"/>
      <c r="E23" s="297"/>
      <c r="F23" s="298">
        <f>IF('Gårdens info'!D18&gt;0,L169,0)</f>
        <v>0</v>
      </c>
      <c r="G23" s="151" t="s">
        <v>14</v>
      </c>
      <c r="H23" s="614">
        <f>IF('Gårdens info'!$G$18&gt;0,F23/'Gårdens info'!$G$18,)</f>
        <v>0</v>
      </c>
      <c r="I23" s="151" t="s">
        <v>6</v>
      </c>
      <c r="J23" s="298">
        <f>F23*'Gårdens info'!$D$18</f>
        <v>0</v>
      </c>
      <c r="K23" s="151" t="s">
        <v>365</v>
      </c>
      <c r="L23" s="297"/>
      <c r="M23" s="300"/>
    </row>
    <row r="24" spans="1:29" ht="15.6" x14ac:dyDescent="0.3">
      <c r="B24" s="312"/>
      <c r="C24" s="301" t="s">
        <v>196</v>
      </c>
      <c r="D24" s="302"/>
      <c r="E24" s="302"/>
      <c r="F24" s="303">
        <f>SUM(F16:F23)</f>
        <v>0</v>
      </c>
      <c r="G24" s="304" t="s">
        <v>14</v>
      </c>
      <c r="H24" s="615">
        <f>SUM(H16:H23)</f>
        <v>0</v>
      </c>
      <c r="I24" s="304" t="s">
        <v>6</v>
      </c>
      <c r="J24" s="303">
        <f>SUM(J16:J23)</f>
        <v>0</v>
      </c>
      <c r="K24" s="304" t="s">
        <v>365</v>
      </c>
      <c r="L24" s="302"/>
      <c r="M24" s="313"/>
      <c r="N24" s="91"/>
      <c r="O24" s="91"/>
      <c r="P24" s="91"/>
      <c r="Q24" s="91"/>
      <c r="R24" s="91"/>
      <c r="S24" s="91"/>
      <c r="T24" s="91"/>
      <c r="U24" s="91"/>
    </row>
    <row r="25" spans="1:29" s="77" customFormat="1" ht="17.399999999999999" x14ac:dyDescent="0.3">
      <c r="A25" s="793"/>
      <c r="B25" s="292"/>
      <c r="C25" s="306"/>
      <c r="D25" s="307"/>
      <c r="E25" s="307"/>
      <c r="F25" s="308"/>
      <c r="G25" s="151"/>
      <c r="H25" s="616"/>
      <c r="I25" s="307"/>
      <c r="J25" s="307"/>
      <c r="K25" s="307"/>
      <c r="L25" s="307"/>
      <c r="M25" s="287"/>
      <c r="N25" s="91"/>
      <c r="O25" s="91"/>
      <c r="P25" s="91"/>
      <c r="R25" s="91"/>
      <c r="S25" s="91"/>
      <c r="T25" s="91"/>
      <c r="U25" s="91"/>
      <c r="AB25" s="858" t="s">
        <v>328</v>
      </c>
      <c r="AC25" s="859">
        <f>F16</f>
        <v>0</v>
      </c>
    </row>
    <row r="26" spans="1:29" s="91" customFormat="1" ht="17.399999999999999" customHeight="1" x14ac:dyDescent="0.3">
      <c r="A26" s="792"/>
      <c r="B26" s="947" t="s">
        <v>346</v>
      </c>
      <c r="C26" s="948"/>
      <c r="D26" s="948"/>
      <c r="E26" s="948"/>
      <c r="F26" s="325">
        <f>IF('Gårdens info'!D18&gt;0,J26/'Gårdens info'!D18,0)</f>
        <v>0</v>
      </c>
      <c r="G26" s="304" t="s">
        <v>14</v>
      </c>
      <c r="H26" s="617">
        <f>IF('Gårdens info'!G18&gt;0,F26/'Gårdens info'!G18,0)</f>
        <v>0</v>
      </c>
      <c r="I26" s="304" t="s">
        <v>6</v>
      </c>
      <c r="J26" s="320">
        <f>'Gårdens info'!G147/'Gårdens info'!D37*'Gårdens info'!D18</f>
        <v>0</v>
      </c>
      <c r="K26" s="304" t="s">
        <v>365</v>
      </c>
      <c r="L26" s="327"/>
      <c r="M26" s="321"/>
      <c r="N26"/>
      <c r="O26"/>
      <c r="P26"/>
      <c r="S26"/>
      <c r="T26"/>
      <c r="U26"/>
      <c r="AB26" s="858" t="str">
        <f t="shared" ref="AB26:AB32" si="2">C17</f>
        <v>Gödsel och kalk</v>
      </c>
      <c r="AC26" s="859">
        <f t="shared" ref="AC26:AC32" si="3">F17</f>
        <v>0</v>
      </c>
    </row>
    <row r="27" spans="1:29" s="91" customFormat="1" ht="17.399999999999999" customHeight="1" x14ac:dyDescent="0.3">
      <c r="A27" s="792"/>
      <c r="B27" s="949" t="s">
        <v>347</v>
      </c>
      <c r="C27" s="950"/>
      <c r="D27" s="950"/>
      <c r="E27" s="950"/>
      <c r="F27" s="325">
        <f>'Gårdens info'!$G$42*'Gårdens info'!$D$42/'Gårdens info'!$D$37*'Gårdens info'!D18</f>
        <v>0</v>
      </c>
      <c r="G27" s="304" t="s">
        <v>14</v>
      </c>
      <c r="H27" s="617">
        <f>IF('Gårdens info'!G18&gt;0,F27/'Gårdens info'!G18,0)</f>
        <v>0</v>
      </c>
      <c r="I27" s="304" t="s">
        <v>6</v>
      </c>
      <c r="J27" s="320">
        <f>F27*'Gårdens info'!D18</f>
        <v>0</v>
      </c>
      <c r="K27" s="304" t="s">
        <v>365</v>
      </c>
      <c r="L27" s="327"/>
      <c r="M27" s="321"/>
      <c r="N27" s="77"/>
      <c r="O27" s="77"/>
      <c r="P27" s="77"/>
      <c r="S27" s="77"/>
      <c r="T27" s="77"/>
      <c r="U27" s="77"/>
      <c r="AB27" s="858" t="str">
        <f t="shared" si="2"/>
        <v>IPM Växtskydd</v>
      </c>
      <c r="AC27" s="859">
        <f t="shared" si="3"/>
        <v>0</v>
      </c>
    </row>
    <row r="28" spans="1:29" s="91" customFormat="1" ht="21" customHeight="1" x14ac:dyDescent="0.4">
      <c r="A28" s="792"/>
      <c r="B28" s="932" t="s">
        <v>226</v>
      </c>
      <c r="C28" s="933"/>
      <c r="D28" s="933"/>
      <c r="E28" s="324"/>
      <c r="F28" s="328">
        <f>F24+F26+F27</f>
        <v>0</v>
      </c>
      <c r="G28" s="329" t="s">
        <v>14</v>
      </c>
      <c r="H28" s="618">
        <f>H24+H26+H27</f>
        <v>0</v>
      </c>
      <c r="I28" s="329" t="s">
        <v>6</v>
      </c>
      <c r="J28" s="331">
        <f>J24+J26+J27</f>
        <v>0</v>
      </c>
      <c r="K28" s="329" t="s">
        <v>365</v>
      </c>
      <c r="L28" s="329"/>
      <c r="M28" s="321"/>
      <c r="AB28" s="858" t="str">
        <f t="shared" si="2"/>
        <v>Packningsmaterial</v>
      </c>
      <c r="AC28" s="859">
        <f t="shared" si="3"/>
        <v>0</v>
      </c>
    </row>
    <row r="29" spans="1:29" s="91" customFormat="1" ht="21" x14ac:dyDescent="0.4">
      <c r="A29" s="792"/>
      <c r="B29" s="832"/>
      <c r="C29" s="833"/>
      <c r="D29" s="833"/>
      <c r="E29" s="324"/>
      <c r="F29" s="328"/>
      <c r="G29" s="329"/>
      <c r="H29" s="330"/>
      <c r="I29" s="329"/>
      <c r="J29" s="331"/>
      <c r="K29" s="329"/>
      <c r="L29" s="329"/>
      <c r="M29" s="321"/>
      <c r="AB29" s="858" t="str">
        <f t="shared" si="2"/>
        <v>Fraktkostnader</v>
      </c>
      <c r="AC29" s="859">
        <f t="shared" si="3"/>
        <v>0</v>
      </c>
    </row>
    <row r="30" spans="1:29" s="91" customFormat="1" ht="21" x14ac:dyDescent="0.4">
      <c r="A30" s="792"/>
      <c r="B30" s="319" t="s">
        <v>348</v>
      </c>
      <c r="C30" s="286"/>
      <c r="D30" s="148"/>
      <c r="E30" s="148"/>
      <c r="F30" s="148"/>
      <c r="G30" s="148"/>
      <c r="H30" s="148"/>
      <c r="I30" s="148"/>
      <c r="J30" s="293"/>
      <c r="K30" s="148"/>
      <c r="L30" s="148"/>
      <c r="M30" s="287"/>
      <c r="AB30" s="858" t="str">
        <f t="shared" si="2"/>
        <v>Maskinkostnader och entreprenad</v>
      </c>
      <c r="AC30" s="859">
        <f t="shared" si="3"/>
        <v>0</v>
      </c>
    </row>
    <row r="31" spans="1:29" s="91" customFormat="1" ht="21" customHeight="1" x14ac:dyDescent="0.4">
      <c r="A31" s="792"/>
      <c r="B31" s="947" t="s">
        <v>149</v>
      </c>
      <c r="C31" s="948"/>
      <c r="D31" s="833"/>
      <c r="E31" s="324"/>
      <c r="F31" s="328"/>
      <c r="G31" s="329"/>
      <c r="H31" s="330"/>
      <c r="I31" s="329"/>
      <c r="J31" s="331"/>
      <c r="K31" s="329"/>
      <c r="L31" s="329"/>
      <c r="M31" s="321"/>
      <c r="AB31" s="858" t="str">
        <f t="shared" si="2"/>
        <v>Energikostnader</v>
      </c>
      <c r="AC31" s="859">
        <f t="shared" si="3"/>
        <v>0</v>
      </c>
    </row>
    <row r="32" spans="1:29" s="91" customFormat="1" ht="21" x14ac:dyDescent="0.4">
      <c r="A32" s="792"/>
      <c r="B32" s="350"/>
      <c r="C32" s="838" t="s">
        <v>264</v>
      </c>
      <c r="D32" s="833"/>
      <c r="E32" s="324"/>
      <c r="F32" s="338">
        <f>IF('Gårdens info'!$D$18&gt;0,J32/'Gårdens info'!$D$18,0)</f>
        <v>0</v>
      </c>
      <c r="G32" s="151" t="s">
        <v>14</v>
      </c>
      <c r="H32" s="613">
        <f>IF('Gårdens info'!$G$18&gt;0,F32/'Gårdens info'!$G$18,0)</f>
        <v>0</v>
      </c>
      <c r="I32" s="151" t="s">
        <v>6</v>
      </c>
      <c r="J32" s="298">
        <f>Ägendom!AG22</f>
        <v>0</v>
      </c>
      <c r="K32" s="151" t="s">
        <v>365</v>
      </c>
      <c r="L32" s="329"/>
      <c r="M32" s="321"/>
      <c r="AB32" s="858" t="str">
        <f t="shared" si="2"/>
        <v>Anställd arbetskraft</v>
      </c>
      <c r="AC32" s="859">
        <f t="shared" si="3"/>
        <v>0</v>
      </c>
    </row>
    <row r="33" spans="1:29" s="236" customFormat="1" ht="21" x14ac:dyDescent="0.4">
      <c r="A33" s="794"/>
      <c r="B33" s="350"/>
      <c r="C33" s="838" t="s">
        <v>265</v>
      </c>
      <c r="D33" s="833"/>
      <c r="E33" s="324"/>
      <c r="F33" s="338">
        <f>IF('Gårdens info'!$D$18&gt;0,J33/'Gårdens info'!$D$18,0)</f>
        <v>0</v>
      </c>
      <c r="G33" s="151" t="s">
        <v>14</v>
      </c>
      <c r="H33" s="613">
        <f>IF('Gårdens info'!$G$18&gt;0,F33/'Gårdens info'!$G$18,0)</f>
        <v>0</v>
      </c>
      <c r="I33" s="151" t="s">
        <v>6</v>
      </c>
      <c r="J33" s="298">
        <f>Ägendom!BM22</f>
        <v>0</v>
      </c>
      <c r="K33" s="151" t="s">
        <v>365</v>
      </c>
      <c r="L33" s="329"/>
      <c r="M33" s="321"/>
      <c r="N33" s="91"/>
      <c r="O33" s="91"/>
      <c r="P33" s="91"/>
      <c r="S33" s="91"/>
      <c r="T33" s="91"/>
      <c r="U33" s="91"/>
      <c r="AB33" s="860" t="s">
        <v>572</v>
      </c>
      <c r="AC33" s="860">
        <f>F26</f>
        <v>0</v>
      </c>
    </row>
    <row r="34" spans="1:29" ht="17.399999999999999" customHeight="1" x14ac:dyDescent="0.3">
      <c r="B34" s="350"/>
      <c r="C34" s="941" t="s">
        <v>266</v>
      </c>
      <c r="D34" s="941"/>
      <c r="E34" s="324"/>
      <c r="F34" s="338">
        <f>IF('Gårdens info'!$D$18&gt;0,J34/'Gårdens info'!$D$18,0)</f>
        <v>0</v>
      </c>
      <c r="G34" s="151" t="s">
        <v>14</v>
      </c>
      <c r="H34" s="613">
        <f>IF('Gårdens info'!$G$18&gt;0,F34/'Gårdens info'!$G$18,0)</f>
        <v>0</v>
      </c>
      <c r="I34" s="151" t="s">
        <v>6</v>
      </c>
      <c r="J34" s="298">
        <f>Ägendom!CI22</f>
        <v>0</v>
      </c>
      <c r="K34" s="151" t="s">
        <v>365</v>
      </c>
      <c r="L34" s="329"/>
      <c r="M34" s="321"/>
      <c r="N34" s="91"/>
      <c r="O34" s="91"/>
      <c r="P34" s="91"/>
      <c r="S34" s="91"/>
      <c r="T34" s="91"/>
      <c r="U34" s="91"/>
      <c r="AB34" s="858" t="s">
        <v>573</v>
      </c>
      <c r="AC34" s="860">
        <f>F27</f>
        <v>0</v>
      </c>
    </row>
    <row r="35" spans="1:29" ht="21" x14ac:dyDescent="0.4">
      <c r="B35" s="350"/>
      <c r="C35" s="838" t="s">
        <v>267</v>
      </c>
      <c r="D35" s="833"/>
      <c r="E35" s="324"/>
      <c r="F35" s="338">
        <f>IF('Gårdens info'!$D$18&gt;0,J35/'Gårdens info'!$D$18,0)</f>
        <v>0</v>
      </c>
      <c r="G35" s="151" t="s">
        <v>14</v>
      </c>
      <c r="H35" s="613">
        <f>IF('Gårdens info'!$G$18&gt;0,F35/'Gårdens info'!$G$18,0)</f>
        <v>0</v>
      </c>
      <c r="I35" s="151" t="s">
        <v>6</v>
      </c>
      <c r="J35" s="298">
        <f>Ägendom!DE22</f>
        <v>0</v>
      </c>
      <c r="K35" s="151" t="s">
        <v>365</v>
      </c>
      <c r="L35" s="329"/>
      <c r="M35" s="321"/>
      <c r="N35" s="236"/>
      <c r="O35" s="236"/>
      <c r="P35" s="236"/>
      <c r="S35" s="236"/>
      <c r="T35" s="236"/>
      <c r="U35" s="236"/>
      <c r="AB35" s="858" t="s">
        <v>12</v>
      </c>
      <c r="AC35" s="861">
        <f>F36</f>
        <v>0</v>
      </c>
    </row>
    <row r="36" spans="1:29" ht="20.399999999999999" x14ac:dyDescent="0.35">
      <c r="B36" s="352"/>
      <c r="C36" s="340" t="s">
        <v>196</v>
      </c>
      <c r="D36" s="341"/>
      <c r="E36" s="324"/>
      <c r="F36" s="342">
        <f>SUM(F32:F35)</f>
        <v>0</v>
      </c>
      <c r="G36" s="151" t="s">
        <v>14</v>
      </c>
      <c r="H36" s="620">
        <f t="shared" ref="H36:J36" si="4">SUM(H32:H35)</f>
        <v>0</v>
      </c>
      <c r="I36" s="151" t="s">
        <v>6</v>
      </c>
      <c r="J36" s="342">
        <f t="shared" si="4"/>
        <v>0</v>
      </c>
      <c r="K36" s="151" t="s">
        <v>365</v>
      </c>
      <c r="L36" s="343"/>
      <c r="M36" s="321"/>
      <c r="AB36" s="858" t="s">
        <v>13</v>
      </c>
      <c r="AC36" s="862">
        <f>F43</f>
        <v>0</v>
      </c>
    </row>
    <row r="37" spans="1:29" s="91" customFormat="1" ht="21" x14ac:dyDescent="0.4">
      <c r="A37" s="792"/>
      <c r="B37" s="350"/>
      <c r="C37" s="838"/>
      <c r="D37" s="833"/>
      <c r="E37" s="324"/>
      <c r="F37" s="338"/>
      <c r="G37" s="151"/>
      <c r="H37" s="339"/>
      <c r="I37" s="151"/>
      <c r="J37" s="298"/>
      <c r="K37" s="151"/>
      <c r="L37" s="329"/>
      <c r="M37" s="321"/>
      <c r="N37"/>
      <c r="O37"/>
      <c r="P37"/>
      <c r="S37"/>
      <c r="T37"/>
      <c r="U37"/>
      <c r="AB37" s="858" t="s">
        <v>50</v>
      </c>
      <c r="AC37" s="862">
        <f>F50</f>
        <v>0</v>
      </c>
    </row>
    <row r="38" spans="1:29" s="91" customFormat="1" ht="17.399999999999999" customHeight="1" x14ac:dyDescent="0.3">
      <c r="A38" s="792"/>
      <c r="B38" s="947" t="s">
        <v>150</v>
      </c>
      <c r="C38" s="948"/>
      <c r="D38" s="948"/>
      <c r="E38" s="324"/>
      <c r="F38" s="338"/>
      <c r="G38" s="151"/>
      <c r="H38" s="339"/>
      <c r="I38" s="151"/>
      <c r="J38" s="298"/>
      <c r="K38" s="151"/>
      <c r="L38" s="329"/>
      <c r="M38" s="321"/>
      <c r="N38"/>
      <c r="O38"/>
      <c r="P38"/>
      <c r="S38"/>
      <c r="T38"/>
      <c r="U38"/>
      <c r="AB38" s="858" t="s">
        <v>23</v>
      </c>
      <c r="AC38" s="862">
        <f>F56</f>
        <v>0</v>
      </c>
    </row>
    <row r="39" spans="1:29" s="91" customFormat="1" ht="21" x14ac:dyDescent="0.4">
      <c r="A39" s="792"/>
      <c r="B39" s="350"/>
      <c r="C39" s="838" t="s">
        <v>264</v>
      </c>
      <c r="D39" s="833"/>
      <c r="E39" s="324"/>
      <c r="F39" s="338">
        <f>IF('Gårdens info'!$D$18&gt;0,J39/'Gårdens info'!$D$18,0)</f>
        <v>0</v>
      </c>
      <c r="G39" s="151" t="s">
        <v>14</v>
      </c>
      <c r="H39" s="613">
        <f>IF('Gårdens info'!$G$18&gt;0,F39/'Gårdens info'!$G$18,0)</f>
        <v>0</v>
      </c>
      <c r="I39" s="151" t="s">
        <v>6</v>
      </c>
      <c r="J39" s="298">
        <f>Ägendom!AG51</f>
        <v>0</v>
      </c>
      <c r="K39" s="151" t="s">
        <v>365</v>
      </c>
      <c r="L39" s="329"/>
      <c r="M39" s="321"/>
      <c r="AB39" s="858" t="s">
        <v>44</v>
      </c>
      <c r="AC39" s="860">
        <f>F62</f>
        <v>0</v>
      </c>
    </row>
    <row r="40" spans="1:29" s="8" customFormat="1" ht="21" x14ac:dyDescent="0.4">
      <c r="A40" s="791"/>
      <c r="B40" s="350"/>
      <c r="C40" s="838" t="s">
        <v>265</v>
      </c>
      <c r="D40" s="833"/>
      <c r="E40" s="324"/>
      <c r="F40" s="338">
        <f>IF('Gårdens info'!$D$18&gt;0,J40/'Gårdens info'!$D$18,0)</f>
        <v>0</v>
      </c>
      <c r="G40" s="151" t="s">
        <v>14</v>
      </c>
      <c r="H40" s="613">
        <f>IF('Gårdens info'!$G$18&gt;0,F40/'Gårdens info'!$G$18,0)</f>
        <v>0</v>
      </c>
      <c r="I40" s="151" t="s">
        <v>6</v>
      </c>
      <c r="J40" s="298">
        <f>Ägendom!BM51</f>
        <v>0</v>
      </c>
      <c r="K40" s="151" t="s">
        <v>365</v>
      </c>
      <c r="L40" s="329"/>
      <c r="M40" s="321"/>
      <c r="N40" s="91"/>
      <c r="O40" s="91"/>
      <c r="P40" s="91"/>
      <c r="Q40" s="91"/>
      <c r="R40" s="91"/>
      <c r="S40" s="91"/>
      <c r="T40" s="91"/>
      <c r="U40" s="91"/>
      <c r="AB40" s="857"/>
      <c r="AC40" s="857"/>
    </row>
    <row r="41" spans="1:29" s="8" customFormat="1" ht="17.399999999999999" customHeight="1" x14ac:dyDescent="0.3">
      <c r="A41" s="791"/>
      <c r="B41" s="350"/>
      <c r="C41" s="941" t="s">
        <v>266</v>
      </c>
      <c r="D41" s="941"/>
      <c r="E41" s="324"/>
      <c r="F41" s="338">
        <f>IF('Gårdens info'!$D$18&gt;0,J41/'Gårdens info'!$D$18,0)</f>
        <v>0</v>
      </c>
      <c r="G41" s="151" t="s">
        <v>14</v>
      </c>
      <c r="H41" s="613">
        <f>IF('Gårdens info'!$G$18&gt;0,F41/'Gårdens info'!$G$18,0)</f>
        <v>0</v>
      </c>
      <c r="I41" s="151" t="s">
        <v>6</v>
      </c>
      <c r="J41" s="298">
        <f>Ägendom!CI51</f>
        <v>0</v>
      </c>
      <c r="K41" s="151" t="s">
        <v>365</v>
      </c>
      <c r="L41" s="329"/>
      <c r="M41" s="321"/>
      <c r="N41" s="91"/>
      <c r="O41" s="91"/>
      <c r="P41" s="91"/>
      <c r="Q41" s="91"/>
      <c r="R41" s="91"/>
      <c r="S41" s="91"/>
      <c r="T41" s="91"/>
      <c r="U41" s="91"/>
      <c r="AB41" s="857"/>
      <c r="AC41" s="857"/>
    </row>
    <row r="42" spans="1:29" s="8" customFormat="1" ht="21" x14ac:dyDescent="0.4">
      <c r="A42" s="791"/>
      <c r="B42" s="350"/>
      <c r="C42" s="838" t="s">
        <v>267</v>
      </c>
      <c r="D42" s="833"/>
      <c r="E42" s="324"/>
      <c r="F42" s="338">
        <f>IF('Gårdens info'!$D$18&gt;0,J42/'Gårdens info'!$D$18,0)</f>
        <v>0</v>
      </c>
      <c r="G42" s="151" t="s">
        <v>14</v>
      </c>
      <c r="H42" s="613">
        <f>IF('Gårdens info'!$G$18&gt;0,F42/'Gårdens info'!$G$18,0)</f>
        <v>0</v>
      </c>
      <c r="I42" s="151" t="s">
        <v>6</v>
      </c>
      <c r="J42" s="298">
        <f>Ägendom!DE51</f>
        <v>0</v>
      </c>
      <c r="K42" s="151" t="s">
        <v>365</v>
      </c>
      <c r="L42" s="329"/>
      <c r="M42" s="321"/>
      <c r="AB42" s="857"/>
      <c r="AC42" s="857"/>
    </row>
    <row r="43" spans="1:29" s="8" customFormat="1" ht="20.399999999999999" x14ac:dyDescent="0.35">
      <c r="A43" s="791"/>
      <c r="B43" s="352"/>
      <c r="C43" s="340" t="s">
        <v>196</v>
      </c>
      <c r="D43" s="341"/>
      <c r="E43" s="324"/>
      <c r="F43" s="342">
        <f>SUM(F39:F42)</f>
        <v>0</v>
      </c>
      <c r="G43" s="151" t="s">
        <v>14</v>
      </c>
      <c r="H43" s="620">
        <f t="shared" ref="H43:J43" si="5">SUM(H39:H42)</f>
        <v>0</v>
      </c>
      <c r="I43" s="151" t="s">
        <v>6</v>
      </c>
      <c r="J43" s="342">
        <f t="shared" si="5"/>
        <v>0</v>
      </c>
      <c r="K43" s="151" t="s">
        <v>365</v>
      </c>
      <c r="L43" s="343"/>
      <c r="M43" s="321"/>
    </row>
    <row r="44" spans="1:29" s="8" customFormat="1" ht="21" x14ac:dyDescent="0.4">
      <c r="A44" s="791"/>
      <c r="B44" s="350"/>
      <c r="C44" s="838"/>
      <c r="D44" s="833"/>
      <c r="E44" s="324"/>
      <c r="F44" s="338"/>
      <c r="G44" s="151"/>
      <c r="H44" s="339"/>
      <c r="I44" s="151"/>
      <c r="J44" s="298"/>
      <c r="K44" s="151"/>
      <c r="L44" s="329"/>
      <c r="M44" s="321"/>
    </row>
    <row r="45" spans="1:29" s="8" customFormat="1" ht="43.05" customHeight="1" x14ac:dyDescent="0.3">
      <c r="A45" s="791"/>
      <c r="B45" s="947" t="s">
        <v>151</v>
      </c>
      <c r="C45" s="948"/>
      <c r="D45" s="948"/>
      <c r="E45" s="324"/>
      <c r="F45" s="338"/>
      <c r="G45" s="151"/>
      <c r="H45" s="339"/>
      <c r="I45" s="151"/>
      <c r="J45" s="298"/>
      <c r="K45" s="151"/>
      <c r="L45" s="329"/>
      <c r="M45" s="321"/>
    </row>
    <row r="46" spans="1:29" ht="21" x14ac:dyDescent="0.4">
      <c r="B46" s="350"/>
      <c r="C46" s="838" t="s">
        <v>264</v>
      </c>
      <c r="D46" s="833"/>
      <c r="E46" s="324"/>
      <c r="F46" s="338">
        <f>IF('Gårdens info'!$D$18&gt;0,J46/'Gårdens info'!$D$18,0)</f>
        <v>0</v>
      </c>
      <c r="G46" s="151" t="s">
        <v>14</v>
      </c>
      <c r="H46" s="613">
        <f>IF('Gårdens info'!$G$18&gt;0,F46/'Gårdens info'!$G$18,0)</f>
        <v>0</v>
      </c>
      <c r="I46" s="151" t="s">
        <v>6</v>
      </c>
      <c r="J46" s="298">
        <f>Ägendom!AG76</f>
        <v>0</v>
      </c>
      <c r="K46" s="151" t="s">
        <v>365</v>
      </c>
      <c r="L46" s="329"/>
      <c r="M46" s="321"/>
      <c r="N46" s="8"/>
      <c r="O46" s="8"/>
      <c r="P46" s="8"/>
      <c r="Q46" s="8"/>
      <c r="R46" s="8"/>
      <c r="S46" s="8"/>
      <c r="T46" s="8"/>
      <c r="U46" s="8"/>
    </row>
    <row r="47" spans="1:29" s="8" customFormat="1" ht="21" x14ac:dyDescent="0.4">
      <c r="A47" s="791"/>
      <c r="B47" s="350"/>
      <c r="C47" s="838" t="s">
        <v>265</v>
      </c>
      <c r="D47" s="833"/>
      <c r="E47" s="324"/>
      <c r="F47" s="338">
        <f>IF('Gårdens info'!$D$18&gt;0,J47/'Gårdens info'!$D$18,0)</f>
        <v>0</v>
      </c>
      <c r="G47" s="151" t="s">
        <v>14</v>
      </c>
      <c r="H47" s="613">
        <f>IF('Gårdens info'!$G$18&gt;0,F47/'Gårdens info'!$G$18,0)</f>
        <v>0</v>
      </c>
      <c r="I47" s="151" t="s">
        <v>6</v>
      </c>
      <c r="J47" s="298">
        <f>Ägendom!BM76</f>
        <v>0</v>
      </c>
      <c r="K47" s="151" t="s">
        <v>365</v>
      </c>
      <c r="L47" s="329"/>
      <c r="M47" s="321"/>
    </row>
    <row r="48" spans="1:29" s="8" customFormat="1" ht="17.399999999999999" customHeight="1" x14ac:dyDescent="0.3">
      <c r="A48" s="791"/>
      <c r="B48" s="350"/>
      <c r="C48" s="941" t="s">
        <v>266</v>
      </c>
      <c r="D48" s="941"/>
      <c r="E48" s="324"/>
      <c r="F48" s="338">
        <f>IF('Gårdens info'!$D$18&gt;0,J48/'Gårdens info'!$D$18,0)</f>
        <v>0</v>
      </c>
      <c r="G48" s="151" t="s">
        <v>14</v>
      </c>
      <c r="H48" s="613">
        <f>IF('Gårdens info'!$G$18&gt;0,F48/'Gårdens info'!$G$18,0)</f>
        <v>0</v>
      </c>
      <c r="I48" s="151" t="s">
        <v>6</v>
      </c>
      <c r="J48" s="298">
        <f>Ägendom!CI76</f>
        <v>0</v>
      </c>
      <c r="K48" s="151" t="s">
        <v>365</v>
      </c>
      <c r="L48" s="329"/>
      <c r="M48" s="321"/>
      <c r="N48"/>
      <c r="O48"/>
      <c r="P48"/>
      <c r="Q48"/>
      <c r="R48"/>
      <c r="S48"/>
      <c r="T48"/>
      <c r="U48"/>
    </row>
    <row r="49" spans="1:13" s="8" customFormat="1" ht="21" x14ac:dyDescent="0.4">
      <c r="A49" s="791"/>
      <c r="B49" s="350"/>
      <c r="C49" s="838" t="s">
        <v>267</v>
      </c>
      <c r="D49" s="833"/>
      <c r="E49" s="324"/>
      <c r="F49" s="338">
        <f>IF('Gårdens info'!$D$18&gt;0,J49/'Gårdens info'!$D$18,0)</f>
        <v>0</v>
      </c>
      <c r="G49" s="151" t="s">
        <v>14</v>
      </c>
      <c r="H49" s="613">
        <f>IF('Gårdens info'!$G$18&gt;0,F49/'Gårdens info'!$G$18,0)</f>
        <v>0</v>
      </c>
      <c r="I49" s="151" t="s">
        <v>6</v>
      </c>
      <c r="J49" s="298">
        <f>Ägendom!DE76</f>
        <v>0</v>
      </c>
      <c r="K49" s="151" t="s">
        <v>365</v>
      </c>
      <c r="L49" s="329"/>
      <c r="M49" s="321"/>
    </row>
    <row r="50" spans="1:13" s="8" customFormat="1" ht="20.399999999999999" x14ac:dyDescent="0.35">
      <c r="A50" s="791"/>
      <c r="B50" s="352"/>
      <c r="C50" s="340" t="s">
        <v>196</v>
      </c>
      <c r="D50" s="341"/>
      <c r="E50" s="324"/>
      <c r="F50" s="342">
        <f>SUM(F46:F49)</f>
        <v>0</v>
      </c>
      <c r="G50" s="151" t="s">
        <v>14</v>
      </c>
      <c r="H50" s="620">
        <f t="shared" ref="H50:J50" si="6">SUM(H46:H49)</f>
        <v>0</v>
      </c>
      <c r="I50" s="151" t="s">
        <v>6</v>
      </c>
      <c r="J50" s="342">
        <f t="shared" si="6"/>
        <v>0</v>
      </c>
      <c r="K50" s="151" t="s">
        <v>365</v>
      </c>
      <c r="L50" s="343"/>
      <c r="M50" s="321"/>
    </row>
    <row r="51" spans="1:13" s="8" customFormat="1" ht="21" x14ac:dyDescent="0.4">
      <c r="A51" s="791"/>
      <c r="B51" s="350"/>
      <c r="C51" s="838"/>
      <c r="D51" s="833"/>
      <c r="E51" s="324"/>
      <c r="F51" s="338"/>
      <c r="G51" s="151"/>
      <c r="H51" s="339"/>
      <c r="I51" s="151"/>
      <c r="J51" s="298"/>
      <c r="K51" s="151"/>
      <c r="L51" s="329"/>
      <c r="M51" s="321"/>
    </row>
    <row r="52" spans="1:13" s="8" customFormat="1" ht="21" customHeight="1" x14ac:dyDescent="0.4">
      <c r="A52" s="791"/>
      <c r="B52" s="951" t="s">
        <v>160</v>
      </c>
      <c r="C52" s="952"/>
      <c r="D52" s="833"/>
      <c r="E52" s="324"/>
      <c r="F52" s="338"/>
      <c r="G52" s="151"/>
      <c r="H52" s="339"/>
      <c r="I52" s="151"/>
      <c r="J52" s="298"/>
      <c r="K52" s="151"/>
      <c r="L52" s="329"/>
      <c r="M52" s="321"/>
    </row>
    <row r="53" spans="1:13" s="8" customFormat="1" ht="21" x14ac:dyDescent="0.4">
      <c r="A53" s="791"/>
      <c r="B53" s="350"/>
      <c r="C53" s="838" t="s">
        <v>264</v>
      </c>
      <c r="D53" s="833"/>
      <c r="E53" s="324"/>
      <c r="F53" s="338">
        <f>IF('Gårdens info'!$D$18&gt;0,J53/'Gårdens info'!$D$18,0)</f>
        <v>0</v>
      </c>
      <c r="G53" s="151" t="s">
        <v>14</v>
      </c>
      <c r="H53" s="613">
        <f>IF('Gårdens info'!$G$18&gt;0,F53/'Gårdens info'!$G$18,0)</f>
        <v>0</v>
      </c>
      <c r="I53" s="151" t="s">
        <v>6</v>
      </c>
      <c r="J53" s="298">
        <f>Ägendom!AG79</f>
        <v>0</v>
      </c>
      <c r="K53" s="151" t="s">
        <v>365</v>
      </c>
      <c r="L53" s="329"/>
      <c r="M53" s="321"/>
    </row>
    <row r="54" spans="1:13" s="8" customFormat="1" ht="19.95" customHeight="1" x14ac:dyDescent="0.4">
      <c r="A54" s="791"/>
      <c r="B54" s="350"/>
      <c r="C54" s="838" t="s">
        <v>265</v>
      </c>
      <c r="D54" s="833"/>
      <c r="E54" s="324"/>
      <c r="F54" s="338">
        <f>IF('Gårdens info'!$D$18&gt;0,J54/'Gårdens info'!$D$18,0)</f>
        <v>0</v>
      </c>
      <c r="G54" s="151" t="s">
        <v>14</v>
      </c>
      <c r="H54" s="613">
        <f>IF('Gårdens info'!$G$18&gt;0,F54/'Gårdens info'!$G$18,0)</f>
        <v>0</v>
      </c>
      <c r="I54" s="151" t="s">
        <v>6</v>
      </c>
      <c r="J54" s="298">
        <f>Ägendom!BM79</f>
        <v>0</v>
      </c>
      <c r="K54" s="151" t="s">
        <v>365</v>
      </c>
      <c r="L54" s="329"/>
      <c r="M54" s="321"/>
    </row>
    <row r="55" spans="1:13" s="8" customFormat="1" ht="17.399999999999999" customHeight="1" x14ac:dyDescent="0.3">
      <c r="A55" s="791"/>
      <c r="B55" s="350"/>
      <c r="C55" s="941" t="s">
        <v>266</v>
      </c>
      <c r="D55" s="941"/>
      <c r="E55" s="324"/>
      <c r="F55" s="338">
        <f>IF('Gårdens info'!$D$18&gt;0,J55/'Gårdens info'!$D$18,0)</f>
        <v>0</v>
      </c>
      <c r="G55" s="151" t="s">
        <v>14</v>
      </c>
      <c r="H55" s="613">
        <f>IF('Gårdens info'!$G$18&gt;0,F55/'Gårdens info'!$G$18,0)</f>
        <v>0</v>
      </c>
      <c r="I55" s="151" t="s">
        <v>6</v>
      </c>
      <c r="J55" s="298">
        <f>Ägendom!CI79</f>
        <v>0</v>
      </c>
      <c r="K55" s="151" t="s">
        <v>365</v>
      </c>
      <c r="L55" s="329"/>
      <c r="M55" s="321"/>
    </row>
    <row r="56" spans="1:13" s="8" customFormat="1" ht="15.6" x14ac:dyDescent="0.3">
      <c r="A56" s="791"/>
      <c r="B56" s="349"/>
      <c r="C56" s="323" t="s">
        <v>196</v>
      </c>
      <c r="D56" s="323"/>
      <c r="E56" s="323"/>
      <c r="F56" s="342">
        <f>SUM(F53:F55)</f>
        <v>0</v>
      </c>
      <c r="G56" s="151" t="s">
        <v>14</v>
      </c>
      <c r="H56" s="620">
        <f t="shared" ref="H56:J56" si="7">SUM(H53:H55)</f>
        <v>0</v>
      </c>
      <c r="I56" s="151" t="s">
        <v>6</v>
      </c>
      <c r="J56" s="342">
        <f t="shared" si="7"/>
        <v>0</v>
      </c>
      <c r="K56" s="151" t="s">
        <v>365</v>
      </c>
      <c r="L56" s="347"/>
      <c r="M56" s="353"/>
    </row>
    <row r="57" spans="1:13" s="8" customFormat="1" ht="21" customHeight="1" x14ac:dyDescent="0.4">
      <c r="A57" s="791"/>
      <c r="B57" s="932" t="s">
        <v>229</v>
      </c>
      <c r="C57" s="933"/>
      <c r="D57" s="933"/>
      <c r="E57" s="324"/>
      <c r="F57" s="328">
        <f>F36+F43+F50+F56</f>
        <v>0</v>
      </c>
      <c r="G57" s="329" t="s">
        <v>14</v>
      </c>
      <c r="H57" s="618">
        <f>H36+H43+H50+H56</f>
        <v>0</v>
      </c>
      <c r="I57" s="329" t="s">
        <v>6</v>
      </c>
      <c r="J57" s="331">
        <f>J36+J43+J50+J56</f>
        <v>0</v>
      </c>
      <c r="K57" s="329" t="s">
        <v>365</v>
      </c>
      <c r="L57" s="329"/>
      <c r="M57" s="321"/>
    </row>
    <row r="58" spans="1:13" s="8" customFormat="1" ht="15.6" x14ac:dyDescent="0.3">
      <c r="A58" s="791"/>
      <c r="B58" s="349"/>
      <c r="C58" s="324"/>
      <c r="D58" s="324"/>
      <c r="E58" s="324"/>
      <c r="F58" s="325"/>
      <c r="G58" s="304"/>
      <c r="H58" s="326"/>
      <c r="I58" s="304"/>
      <c r="J58" s="320"/>
      <c r="K58" s="304"/>
      <c r="L58" s="327"/>
      <c r="M58" s="321"/>
    </row>
    <row r="59" spans="1:13" s="8" customFormat="1" ht="21" x14ac:dyDescent="0.4">
      <c r="A59" s="791"/>
      <c r="B59" s="319" t="s">
        <v>230</v>
      </c>
      <c r="C59" s="324"/>
      <c r="D59" s="324"/>
      <c r="E59" s="324"/>
      <c r="F59" s="325"/>
      <c r="G59" s="304"/>
      <c r="H59" s="326"/>
      <c r="I59" s="304"/>
      <c r="J59" s="320"/>
      <c r="K59" s="304"/>
      <c r="L59" s="327"/>
      <c r="M59" s="321"/>
    </row>
    <row r="60" spans="1:13" s="8" customFormat="1" ht="15" x14ac:dyDescent="0.25">
      <c r="A60" s="791"/>
      <c r="B60" s="296"/>
      <c r="C60" s="289" t="s">
        <v>230</v>
      </c>
      <c r="D60" s="297"/>
      <c r="E60" s="297"/>
      <c r="F60" s="298">
        <f>IF('Gårdens info'!D18&gt;0,H169,0)</f>
        <v>0</v>
      </c>
      <c r="G60" s="151" t="s">
        <v>14</v>
      </c>
      <c r="H60" s="614">
        <f>IF('Gårdens info'!G18&gt;0,F60/'Gårdens info'!$G$18,0)</f>
        <v>0</v>
      </c>
      <c r="I60" s="151" t="s">
        <v>6</v>
      </c>
      <c r="J60" s="298">
        <f>F60*'Gårdens info'!D18</f>
        <v>0</v>
      </c>
      <c r="K60" s="151" t="s">
        <v>365</v>
      </c>
      <c r="L60" s="297"/>
      <c r="M60" s="300"/>
    </row>
    <row r="61" spans="1:13" s="8" customFormat="1" ht="17.399999999999999" x14ac:dyDescent="0.3">
      <c r="A61" s="791"/>
      <c r="B61" s="841"/>
      <c r="C61" s="306"/>
      <c r="D61" s="310"/>
      <c r="E61" s="310"/>
      <c r="F61" s="311"/>
      <c r="G61" s="153"/>
      <c r="H61" s="310"/>
      <c r="I61" s="310"/>
      <c r="J61" s="310"/>
      <c r="K61" s="310"/>
      <c r="L61" s="310"/>
      <c r="M61" s="295"/>
    </row>
    <row r="62" spans="1:13" s="8" customFormat="1" ht="21" customHeight="1" x14ac:dyDescent="0.4">
      <c r="A62" s="791"/>
      <c r="B62" s="932" t="s">
        <v>231</v>
      </c>
      <c r="C62" s="933"/>
      <c r="D62" s="933"/>
      <c r="E62" s="324"/>
      <c r="F62" s="328">
        <f>F60</f>
        <v>0</v>
      </c>
      <c r="G62" s="329" t="s">
        <v>14</v>
      </c>
      <c r="H62" s="618">
        <f>H60</f>
        <v>0</v>
      </c>
      <c r="I62" s="329" t="s">
        <v>6</v>
      </c>
      <c r="J62" s="331">
        <f>J60</f>
        <v>0</v>
      </c>
      <c r="K62" s="329" t="s">
        <v>365</v>
      </c>
      <c r="L62" s="329"/>
      <c r="M62" s="321"/>
    </row>
    <row r="63" spans="1:13" s="8" customFormat="1" ht="21" x14ac:dyDescent="0.4">
      <c r="A63" s="791"/>
      <c r="B63" s="832"/>
      <c r="C63" s="833"/>
      <c r="D63" s="833"/>
      <c r="E63" s="324"/>
      <c r="F63" s="328"/>
      <c r="G63" s="329"/>
      <c r="H63" s="618"/>
      <c r="I63" s="329"/>
      <c r="J63" s="331"/>
      <c r="K63" s="329"/>
      <c r="L63" s="329"/>
      <c r="M63" s="321"/>
    </row>
    <row r="64" spans="1:13" s="8" customFormat="1" ht="21" customHeight="1" x14ac:dyDescent="0.4">
      <c r="A64" s="791"/>
      <c r="B64" s="932" t="s">
        <v>268</v>
      </c>
      <c r="C64" s="933"/>
      <c r="D64" s="933"/>
      <c r="E64" s="324"/>
      <c r="F64" s="328">
        <f>F28+F57+F62</f>
        <v>0</v>
      </c>
      <c r="G64" s="329" t="s">
        <v>14</v>
      </c>
      <c r="H64" s="705">
        <f>H28+H57+H62</f>
        <v>0</v>
      </c>
      <c r="I64" s="329" t="s">
        <v>6</v>
      </c>
      <c r="J64" s="328">
        <f>J28+J57+J62</f>
        <v>0</v>
      </c>
      <c r="K64" s="329" t="s">
        <v>365</v>
      </c>
      <c r="L64" s="329"/>
      <c r="M64" s="321"/>
    </row>
    <row r="65" spans="1:21" s="8" customFormat="1" ht="21" x14ac:dyDescent="0.4">
      <c r="A65" s="791"/>
      <c r="B65" s="832"/>
      <c r="C65" s="833"/>
      <c r="D65" s="833"/>
      <c r="E65" s="324"/>
      <c r="F65" s="328"/>
      <c r="G65" s="329"/>
      <c r="H65" s="330"/>
      <c r="I65" s="329"/>
      <c r="J65" s="331"/>
      <c r="K65" s="329"/>
      <c r="L65" s="329"/>
      <c r="M65" s="321"/>
    </row>
    <row r="66" spans="1:21" s="8" customFormat="1" ht="21.6" customHeight="1" thickBot="1" x14ac:dyDescent="0.45">
      <c r="A66" s="791"/>
      <c r="B66" s="936" t="s">
        <v>269</v>
      </c>
      <c r="C66" s="937"/>
      <c r="D66" s="937"/>
      <c r="E66" s="315"/>
      <c r="F66" s="355">
        <f>F11-F28-F57-F62</f>
        <v>0</v>
      </c>
      <c r="G66" s="356" t="s">
        <v>14</v>
      </c>
      <c r="H66" s="621">
        <f>H11-H28-H57-H62</f>
        <v>0</v>
      </c>
      <c r="I66" s="356" t="s">
        <v>6</v>
      </c>
      <c r="J66" s="355">
        <f>J11-J28-J57-J62</f>
        <v>0</v>
      </c>
      <c r="K66" s="853" t="s">
        <v>365</v>
      </c>
      <c r="L66" s="356"/>
      <c r="M66" s="316"/>
    </row>
    <row r="67" spans="1:21" s="8" customFormat="1" ht="21" x14ac:dyDescent="0.4">
      <c r="A67" s="791"/>
      <c r="B67" s="76"/>
      <c r="C67"/>
      <c r="D67"/>
      <c r="E67"/>
      <c r="F67"/>
      <c r="G67"/>
      <c r="H67"/>
      <c r="I67"/>
      <c r="J67"/>
      <c r="K67"/>
      <c r="L67"/>
      <c r="M67"/>
    </row>
    <row r="68" spans="1:21" s="239" customFormat="1" ht="16.2" thickBot="1" x14ac:dyDescent="0.35">
      <c r="A68" s="795"/>
      <c r="B68"/>
      <c r="C68"/>
      <c r="D68"/>
      <c r="E68"/>
      <c r="F68"/>
      <c r="G68"/>
      <c r="H68"/>
      <c r="I68"/>
      <c r="J68"/>
      <c r="K68"/>
      <c r="L68"/>
      <c r="M68"/>
      <c r="N68" s="8"/>
      <c r="O68" s="8"/>
      <c r="P68" s="8"/>
      <c r="Q68" s="8"/>
      <c r="R68" s="8"/>
      <c r="S68" s="8"/>
      <c r="T68" s="8"/>
      <c r="U68" s="8"/>
    </row>
    <row r="69" spans="1:21" s="8" customFormat="1" ht="21.6" thickBot="1" x14ac:dyDescent="0.45">
      <c r="A69" s="791"/>
      <c r="B69" s="953" t="s">
        <v>368</v>
      </c>
      <c r="C69" s="954"/>
      <c r="D69" s="954"/>
      <c r="E69" s="955"/>
      <c r="F69"/>
      <c r="G69"/>
      <c r="H69"/>
      <c r="I69"/>
      <c r="J69"/>
      <c r="K69"/>
      <c r="L69" s="956" t="s">
        <v>271</v>
      </c>
      <c r="M69" s="956"/>
    </row>
    <row r="70" spans="1:21" s="8" customFormat="1" ht="21" x14ac:dyDescent="0.4">
      <c r="A70" s="791"/>
      <c r="B70" s="758"/>
      <c r="C70" s="758"/>
      <c r="D70" s="758"/>
      <c r="E70" s="758"/>
      <c r="F70" s="534"/>
      <c r="G70" s="534"/>
      <c r="H70" s="534"/>
      <c r="I70" s="534"/>
      <c r="J70" s="534"/>
      <c r="K70" s="534"/>
      <c r="L70" s="761"/>
      <c r="M70" s="761"/>
    </row>
    <row r="71" spans="1:21" ht="15.6" x14ac:dyDescent="0.3">
      <c r="B71" s="113" t="s">
        <v>356</v>
      </c>
      <c r="C71" s="65"/>
      <c r="D71" s="65"/>
      <c r="E71" s="65"/>
      <c r="F71" s="959" t="s">
        <v>159</v>
      </c>
      <c r="G71" s="959"/>
      <c r="H71" s="959" t="s">
        <v>158</v>
      </c>
      <c r="I71" s="959"/>
      <c r="J71" s="959" t="s">
        <v>273</v>
      </c>
      <c r="K71" s="959"/>
      <c r="L71" s="143" t="s">
        <v>274</v>
      </c>
      <c r="M71" s="67"/>
    </row>
    <row r="72" spans="1:21" ht="13.8" thickBot="1" x14ac:dyDescent="0.3">
      <c r="B72" s="69"/>
      <c r="C72" s="65"/>
      <c r="D72" s="65"/>
      <c r="E72" s="65"/>
      <c r="F72" s="65"/>
      <c r="G72" s="65"/>
      <c r="H72" s="65"/>
      <c r="I72" s="65"/>
      <c r="J72" s="67"/>
      <c r="K72" s="67"/>
      <c r="L72" s="67"/>
      <c r="M72" s="67"/>
    </row>
    <row r="73" spans="1:21" ht="13.8" thickBot="1" x14ac:dyDescent="0.3">
      <c r="B73" s="65"/>
      <c r="C73" s="66" t="s">
        <v>328</v>
      </c>
      <c r="D73" s="67"/>
      <c r="E73" s="65"/>
      <c r="F73" s="96">
        <v>30000</v>
      </c>
      <c r="G73" s="65" t="s">
        <v>327</v>
      </c>
      <c r="H73" s="96">
        <v>4.4999999999999998E-2</v>
      </c>
      <c r="I73" s="70" t="s">
        <v>152</v>
      </c>
      <c r="J73" s="235">
        <f>F73*H73</f>
        <v>1350</v>
      </c>
      <c r="K73" s="65" t="s">
        <v>14</v>
      </c>
      <c r="L73" s="65"/>
      <c r="M73" s="67"/>
    </row>
    <row r="74" spans="1:21" s="8" customFormat="1" x14ac:dyDescent="0.25">
      <c r="A74" s="791"/>
      <c r="B74" s="71"/>
      <c r="C74" s="71" t="s">
        <v>196</v>
      </c>
      <c r="D74" s="572"/>
      <c r="E74" s="71"/>
      <c r="F74" s="277"/>
      <c r="G74" s="573"/>
      <c r="H74" s="574"/>
      <c r="I74" s="279"/>
      <c r="J74" s="280"/>
      <c r="K74" s="71"/>
      <c r="L74" s="71"/>
      <c r="M74" s="71"/>
    </row>
    <row r="75" spans="1:21" x14ac:dyDescent="0.25">
      <c r="B75" s="535"/>
      <c r="C75" s="535"/>
      <c r="D75" s="569"/>
      <c r="E75" s="535"/>
      <c r="F75" s="570"/>
      <c r="G75" s="535"/>
      <c r="H75" s="307"/>
      <c r="I75" s="537"/>
      <c r="J75" s="571"/>
      <c r="K75" s="535"/>
      <c r="L75" s="534"/>
      <c r="M75" s="534"/>
    </row>
    <row r="76" spans="1:21" s="8" customFormat="1" ht="15.6" x14ac:dyDescent="0.3">
      <c r="A76" s="791"/>
      <c r="B76" s="120" t="s">
        <v>275</v>
      </c>
      <c r="C76" s="121"/>
      <c r="D76" s="121"/>
      <c r="E76" s="121"/>
      <c r="F76" s="960" t="s">
        <v>159</v>
      </c>
      <c r="G76" s="960"/>
      <c r="H76" s="960" t="s">
        <v>158</v>
      </c>
      <c r="I76" s="960"/>
      <c r="J76" s="960" t="s">
        <v>273</v>
      </c>
      <c r="K76" s="960"/>
      <c r="L76" s="123"/>
      <c r="M76" s="123"/>
    </row>
    <row r="77" spans="1:21" s="77" customFormat="1" ht="18" thickBot="1" x14ac:dyDescent="0.35">
      <c r="A77" s="793"/>
      <c r="B77" s="121"/>
      <c r="C77" s="121"/>
      <c r="D77" s="121"/>
      <c r="E77" s="121"/>
      <c r="F77" s="121"/>
      <c r="G77" s="121"/>
      <c r="H77" s="122"/>
      <c r="I77" s="122"/>
      <c r="J77" s="123"/>
      <c r="K77" s="123"/>
      <c r="L77" s="123"/>
      <c r="M77" s="123"/>
      <c r="N77" s="8"/>
      <c r="O77" s="8"/>
      <c r="P77" s="8"/>
      <c r="Q77" s="8"/>
      <c r="R77" s="8"/>
      <c r="S77" s="8"/>
      <c r="T77" s="8"/>
      <c r="U77" s="8"/>
    </row>
    <row r="78" spans="1:21" s="91" customFormat="1" ht="15.6" thickBot="1" x14ac:dyDescent="0.3">
      <c r="A78" s="792"/>
      <c r="B78" s="121"/>
      <c r="C78" s="121" t="s">
        <v>281</v>
      </c>
      <c r="D78" s="123"/>
      <c r="E78" s="121"/>
      <c r="F78" s="118">
        <v>800</v>
      </c>
      <c r="G78" s="121" t="s">
        <v>21</v>
      </c>
      <c r="H78" s="99">
        <v>0.75</v>
      </c>
      <c r="I78" s="122" t="s">
        <v>6</v>
      </c>
      <c r="J78" s="124">
        <f>F78*H78</f>
        <v>600</v>
      </c>
      <c r="K78" s="121" t="s">
        <v>14</v>
      </c>
      <c r="L78" s="123"/>
      <c r="M78" s="123"/>
      <c r="N78" s="8"/>
      <c r="O78" s="8"/>
      <c r="P78" s="8"/>
      <c r="Q78" s="8"/>
      <c r="R78" s="8"/>
      <c r="S78" s="8"/>
      <c r="T78" s="8"/>
      <c r="U78" s="8"/>
    </row>
    <row r="79" spans="1:21" s="77" customFormat="1" ht="18" thickBot="1" x14ac:dyDescent="0.35">
      <c r="A79" s="793"/>
      <c r="B79" s="121"/>
      <c r="C79" s="121" t="s">
        <v>278</v>
      </c>
      <c r="D79" s="123"/>
      <c r="E79" s="121"/>
      <c r="F79" s="96">
        <v>500</v>
      </c>
      <c r="G79" s="121" t="s">
        <v>21</v>
      </c>
      <c r="H79" s="99">
        <v>0.4</v>
      </c>
      <c r="I79" s="122" t="s">
        <v>6</v>
      </c>
      <c r="J79" s="124">
        <f t="shared" ref="J79:J82" si="8">F79*H79</f>
        <v>200</v>
      </c>
      <c r="K79" s="121" t="s">
        <v>14</v>
      </c>
      <c r="L79" s="123"/>
      <c r="M79" s="123"/>
      <c r="N79" s="91"/>
      <c r="O79" s="91"/>
      <c r="P79" s="91"/>
      <c r="Q79" s="91"/>
      <c r="R79" s="91"/>
      <c r="S79" s="91"/>
      <c r="T79" s="91"/>
      <c r="U79" s="91"/>
    </row>
    <row r="80" spans="1:21" s="91" customFormat="1" ht="15.6" thickBot="1" x14ac:dyDescent="0.3">
      <c r="A80" s="792"/>
      <c r="B80" s="121"/>
      <c r="C80" s="121" t="s">
        <v>279</v>
      </c>
      <c r="D80" s="123"/>
      <c r="E80" s="121"/>
      <c r="F80" s="96">
        <v>2000</v>
      </c>
      <c r="G80" s="121" t="s">
        <v>21</v>
      </c>
      <c r="H80" s="99">
        <v>0.46</v>
      </c>
      <c r="I80" s="122" t="s">
        <v>6</v>
      </c>
      <c r="J80" s="124">
        <f t="shared" si="8"/>
        <v>920</v>
      </c>
      <c r="K80" s="121" t="s">
        <v>14</v>
      </c>
      <c r="L80" s="123"/>
      <c r="M80" s="123"/>
      <c r="N80" s="8"/>
      <c r="O80" s="8"/>
      <c r="P80" s="8"/>
      <c r="Q80" s="8"/>
      <c r="R80" s="8"/>
      <c r="S80" s="8"/>
      <c r="T80" s="8"/>
      <c r="U80" s="8"/>
    </row>
    <row r="81" spans="1:21" s="77" customFormat="1" ht="18" thickBot="1" x14ac:dyDescent="0.35">
      <c r="A81" s="793"/>
      <c r="B81" s="121"/>
      <c r="C81" s="121" t="s">
        <v>280</v>
      </c>
      <c r="D81" s="121"/>
      <c r="E81" s="121"/>
      <c r="F81" s="96"/>
      <c r="G81" s="121" t="s">
        <v>21</v>
      </c>
      <c r="H81" s="99"/>
      <c r="I81" s="122" t="s">
        <v>6</v>
      </c>
      <c r="J81" s="124">
        <f t="shared" si="8"/>
        <v>0</v>
      </c>
      <c r="K81" s="121" t="s">
        <v>14</v>
      </c>
      <c r="L81" s="123"/>
      <c r="M81" s="123"/>
    </row>
    <row r="82" spans="1:21" ht="15.6" thickBot="1" x14ac:dyDescent="0.3">
      <c r="B82" s="121"/>
      <c r="C82" s="121" t="s">
        <v>280</v>
      </c>
      <c r="D82" s="121"/>
      <c r="E82" s="121"/>
      <c r="F82" s="96"/>
      <c r="G82" s="121" t="s">
        <v>21</v>
      </c>
      <c r="H82" s="99"/>
      <c r="I82" s="122" t="s">
        <v>6</v>
      </c>
      <c r="J82" s="124">
        <f t="shared" si="8"/>
        <v>0</v>
      </c>
      <c r="K82" s="121" t="s">
        <v>14</v>
      </c>
      <c r="L82" s="123"/>
      <c r="M82" s="123"/>
      <c r="N82" s="91"/>
      <c r="O82" s="91"/>
      <c r="P82" s="91"/>
      <c r="Q82" s="91"/>
      <c r="R82" s="91"/>
      <c r="S82" s="91"/>
      <c r="T82" s="91"/>
      <c r="U82" s="91"/>
    </row>
    <row r="83" spans="1:21" s="91" customFormat="1" ht="17.399999999999999" x14ac:dyDescent="0.3">
      <c r="A83" s="792"/>
      <c r="B83" s="270"/>
      <c r="C83" s="270" t="s">
        <v>222</v>
      </c>
      <c r="D83" s="270"/>
      <c r="E83" s="270"/>
      <c r="F83" s="270"/>
      <c r="G83" s="270"/>
      <c r="H83" s="270"/>
      <c r="I83" s="271"/>
      <c r="J83" s="272">
        <f>SUM(J78:J82)</f>
        <v>1720</v>
      </c>
      <c r="K83" s="270" t="s">
        <v>14</v>
      </c>
      <c r="L83" s="270"/>
      <c r="M83" s="270"/>
      <c r="N83" s="77"/>
      <c r="O83" s="77"/>
      <c r="P83" s="77"/>
      <c r="Q83" s="77"/>
      <c r="R83" s="77"/>
      <c r="S83" s="77"/>
      <c r="T83" s="77"/>
      <c r="U83" s="77"/>
    </row>
    <row r="84" spans="1:21" s="8" customFormat="1" x14ac:dyDescent="0.25">
      <c r="A84" s="791"/>
      <c r="B84" s="121"/>
      <c r="C84" s="121"/>
      <c r="D84" s="121"/>
      <c r="E84" s="121"/>
      <c r="F84" s="121"/>
      <c r="G84" s="121"/>
      <c r="H84" s="121"/>
      <c r="I84" s="122"/>
      <c r="J84" s="124"/>
      <c r="K84" s="121"/>
      <c r="L84" s="123"/>
      <c r="M84" s="123"/>
      <c r="N84"/>
      <c r="O84"/>
      <c r="P84"/>
      <c r="Q84"/>
      <c r="R84"/>
      <c r="S84"/>
      <c r="T84"/>
      <c r="U84"/>
    </row>
    <row r="85" spans="1:21" s="8" customFormat="1" ht="15" x14ac:dyDescent="0.25">
      <c r="A85" s="791"/>
      <c r="B85"/>
      <c r="C85"/>
      <c r="D85"/>
      <c r="E85"/>
      <c r="F85"/>
      <c r="G85"/>
      <c r="H85"/>
      <c r="I85"/>
      <c r="J85"/>
      <c r="K85"/>
      <c r="L85"/>
      <c r="M85"/>
      <c r="N85" s="91"/>
      <c r="O85" s="91"/>
      <c r="P85" s="91"/>
      <c r="Q85" s="91"/>
      <c r="R85" s="91"/>
      <c r="S85" s="91"/>
      <c r="T85" s="91"/>
      <c r="U85" s="91"/>
    </row>
    <row r="86" spans="1:21" s="8" customFormat="1" ht="15.6" x14ac:dyDescent="0.3">
      <c r="A86" s="791"/>
      <c r="B86" s="109" t="s">
        <v>282</v>
      </c>
      <c r="C86" s="72"/>
      <c r="D86" s="72"/>
      <c r="E86" s="72"/>
      <c r="F86" s="957" t="s">
        <v>159</v>
      </c>
      <c r="G86" s="957"/>
      <c r="H86" s="958" t="s">
        <v>158</v>
      </c>
      <c r="I86" s="958"/>
      <c r="J86" s="957" t="s">
        <v>273</v>
      </c>
      <c r="K86" s="957"/>
      <c r="L86" s="79"/>
      <c r="M86" s="79"/>
    </row>
    <row r="87" spans="1:21" x14ac:dyDescent="0.25">
      <c r="B87" s="72"/>
      <c r="C87" s="72"/>
      <c r="D87" s="72"/>
      <c r="E87" s="72"/>
      <c r="F87" s="74"/>
      <c r="G87" s="74"/>
      <c r="H87" s="73"/>
      <c r="I87" s="73"/>
      <c r="J87" s="73"/>
      <c r="K87" s="79"/>
      <c r="L87" s="79"/>
      <c r="M87" s="79"/>
      <c r="N87" s="8"/>
      <c r="O87" s="8"/>
      <c r="P87" s="8"/>
      <c r="Q87" s="8"/>
      <c r="R87" s="8"/>
      <c r="S87" s="8"/>
      <c r="T87" s="8"/>
      <c r="U87" s="8"/>
    </row>
    <row r="88" spans="1:21" ht="15.6" x14ac:dyDescent="0.3">
      <c r="B88" s="109"/>
      <c r="C88" s="72"/>
      <c r="D88" s="462" t="s">
        <v>364</v>
      </c>
      <c r="E88" s="72"/>
      <c r="F88" s="836"/>
      <c r="G88" s="836"/>
      <c r="H88" s="837"/>
      <c r="I88" s="837"/>
      <c r="J88" s="836"/>
      <c r="K88" s="836"/>
      <c r="L88" s="79"/>
      <c r="M88" s="79"/>
    </row>
    <row r="89" spans="1:21" ht="13.8" thickBot="1" x14ac:dyDescent="0.3">
      <c r="B89" s="214" t="s">
        <v>357</v>
      </c>
      <c r="C89" s="72"/>
      <c r="D89" s="72"/>
      <c r="E89" s="72"/>
      <c r="F89" s="74"/>
      <c r="G89" s="74"/>
      <c r="H89" s="73"/>
      <c r="I89" s="73"/>
      <c r="J89" s="79"/>
      <c r="K89" s="79"/>
      <c r="L89" s="79"/>
      <c r="M89" s="79"/>
    </row>
    <row r="90" spans="1:21" ht="13.8" thickBot="1" x14ac:dyDescent="0.3">
      <c r="B90" s="72"/>
      <c r="C90" s="72" t="s">
        <v>69</v>
      </c>
      <c r="D90" s="79"/>
      <c r="E90" s="72"/>
      <c r="F90" s="119">
        <v>2</v>
      </c>
      <c r="G90" s="74" t="s">
        <v>20</v>
      </c>
      <c r="H90" s="99">
        <v>18.8</v>
      </c>
      <c r="I90" s="73" t="s">
        <v>5</v>
      </c>
      <c r="J90" s="79">
        <f>F90*H90</f>
        <v>37.6</v>
      </c>
      <c r="K90" s="72" t="s">
        <v>14</v>
      </c>
      <c r="L90" s="79"/>
      <c r="M90" s="79"/>
    </row>
    <row r="91" spans="1:21" ht="13.8" thickBot="1" x14ac:dyDescent="0.3">
      <c r="B91" s="72"/>
      <c r="C91" s="72" t="s">
        <v>68</v>
      </c>
      <c r="D91" s="79"/>
      <c r="E91" s="72"/>
      <c r="F91" s="119">
        <v>0.1</v>
      </c>
      <c r="G91" s="74" t="s">
        <v>20</v>
      </c>
      <c r="H91" s="99">
        <v>39.200000000000003</v>
      </c>
      <c r="I91" s="73" t="s">
        <v>6</v>
      </c>
      <c r="J91" s="79">
        <f t="shared" ref="J91:J95" si="9">F91*H91</f>
        <v>3.9200000000000004</v>
      </c>
      <c r="K91" s="72" t="s">
        <v>14</v>
      </c>
      <c r="L91" s="79"/>
      <c r="M91" s="79"/>
    </row>
    <row r="92" spans="1:21" ht="13.8" thickBot="1" x14ac:dyDescent="0.3">
      <c r="B92" s="72"/>
      <c r="C92" s="72" t="s">
        <v>70</v>
      </c>
      <c r="D92" s="79"/>
      <c r="E92" s="72"/>
      <c r="F92" s="119">
        <v>0.3</v>
      </c>
      <c r="G92" s="74" t="s">
        <v>20</v>
      </c>
      <c r="H92" s="99">
        <v>48</v>
      </c>
      <c r="I92" s="73" t="s">
        <v>5</v>
      </c>
      <c r="J92" s="79">
        <f t="shared" si="9"/>
        <v>14.399999999999999</v>
      </c>
      <c r="K92" s="72" t="s">
        <v>14</v>
      </c>
      <c r="L92" s="79"/>
      <c r="M92" s="79"/>
    </row>
    <row r="93" spans="1:21" ht="13.8" thickBot="1" x14ac:dyDescent="0.3">
      <c r="B93" s="72"/>
      <c r="C93" s="72" t="s">
        <v>31</v>
      </c>
      <c r="D93" s="79"/>
      <c r="E93" s="72"/>
      <c r="F93" s="119"/>
      <c r="G93" s="74" t="s">
        <v>20</v>
      </c>
      <c r="H93" s="99"/>
      <c r="I93" s="73" t="s">
        <v>5</v>
      </c>
      <c r="J93" s="79">
        <f t="shared" si="9"/>
        <v>0</v>
      </c>
      <c r="K93" s="72" t="s">
        <v>14</v>
      </c>
      <c r="L93" s="79"/>
      <c r="M93" s="79"/>
    </row>
    <row r="94" spans="1:21" ht="13.8" thickBot="1" x14ac:dyDescent="0.3">
      <c r="B94" s="72"/>
      <c r="C94" s="72" t="s">
        <v>31</v>
      </c>
      <c r="D94" s="72"/>
      <c r="E94" s="72"/>
      <c r="F94" s="119"/>
      <c r="G94" s="74" t="s">
        <v>20</v>
      </c>
      <c r="H94" s="99"/>
      <c r="I94" s="73" t="s">
        <v>5</v>
      </c>
      <c r="J94" s="79">
        <f t="shared" si="9"/>
        <v>0</v>
      </c>
      <c r="K94" s="72" t="s">
        <v>14</v>
      </c>
      <c r="L94" s="79"/>
      <c r="M94" s="79"/>
    </row>
    <row r="95" spans="1:21" ht="13.8" thickBot="1" x14ac:dyDescent="0.3">
      <c r="B95" s="72"/>
      <c r="C95" s="72" t="s">
        <v>31</v>
      </c>
      <c r="D95" s="72"/>
      <c r="E95" s="72"/>
      <c r="F95" s="119"/>
      <c r="G95" s="74" t="s">
        <v>20</v>
      </c>
      <c r="H95" s="99"/>
      <c r="I95" s="73" t="s">
        <v>5</v>
      </c>
      <c r="J95" s="79">
        <f t="shared" si="9"/>
        <v>0</v>
      </c>
      <c r="K95" s="72" t="s">
        <v>14</v>
      </c>
      <c r="L95" s="79"/>
      <c r="M95" s="79"/>
    </row>
    <row r="96" spans="1:21" x14ac:dyDescent="0.25">
      <c r="B96" s="72"/>
      <c r="C96" s="72"/>
      <c r="D96" s="72"/>
      <c r="E96" s="72"/>
      <c r="F96" s="212"/>
      <c r="G96" s="74"/>
      <c r="H96" s="213"/>
      <c r="I96" s="73"/>
      <c r="J96" s="79"/>
      <c r="K96" s="72"/>
      <c r="L96" s="79"/>
      <c r="M96" s="79"/>
    </row>
    <row r="97" spans="1:15" ht="13.8" thickBot="1" x14ac:dyDescent="0.3">
      <c r="B97" s="214" t="s">
        <v>358</v>
      </c>
      <c r="C97" s="72"/>
      <c r="D97" s="72"/>
      <c r="E97" s="72"/>
      <c r="F97" s="212"/>
      <c r="G97" s="74"/>
      <c r="H97" s="213"/>
      <c r="I97" s="73"/>
      <c r="J97" s="79"/>
      <c r="K97" s="72"/>
      <c r="L97" s="79"/>
      <c r="M97" s="79"/>
    </row>
    <row r="98" spans="1:15" ht="13.8" thickBot="1" x14ac:dyDescent="0.3">
      <c r="B98" s="72"/>
      <c r="C98" s="72" t="s">
        <v>57</v>
      </c>
      <c r="D98" s="72"/>
      <c r="E98" s="72"/>
      <c r="F98" s="119"/>
      <c r="G98" s="74" t="s">
        <v>20</v>
      </c>
      <c r="H98" s="119"/>
      <c r="I98" s="73" t="s">
        <v>5</v>
      </c>
      <c r="J98" s="79">
        <f t="shared" ref="J98:J101" si="10">F98*H98</f>
        <v>0</v>
      </c>
      <c r="K98" s="72" t="s">
        <v>14</v>
      </c>
      <c r="L98" s="79"/>
      <c r="M98" s="79"/>
    </row>
    <row r="99" spans="1:15" ht="13.8" thickBot="1" x14ac:dyDescent="0.3">
      <c r="B99" s="72"/>
      <c r="C99" s="72" t="s">
        <v>57</v>
      </c>
      <c r="D99" s="72"/>
      <c r="E99" s="72"/>
      <c r="F99" s="119"/>
      <c r="G99" s="74" t="s">
        <v>20</v>
      </c>
      <c r="H99" s="119"/>
      <c r="I99" s="73" t="s">
        <v>5</v>
      </c>
      <c r="J99" s="79">
        <f t="shared" si="10"/>
        <v>0</v>
      </c>
      <c r="K99" s="72" t="s">
        <v>14</v>
      </c>
      <c r="L99" s="79"/>
      <c r="M99" s="79"/>
    </row>
    <row r="100" spans="1:15" ht="13.8" thickBot="1" x14ac:dyDescent="0.3">
      <c r="B100" s="72"/>
      <c r="C100" s="72" t="s">
        <v>57</v>
      </c>
      <c r="D100" s="72"/>
      <c r="E100" s="72"/>
      <c r="F100" s="119"/>
      <c r="G100" s="74" t="s">
        <v>20</v>
      </c>
      <c r="H100" s="119"/>
      <c r="I100" s="73" t="s">
        <v>5</v>
      </c>
      <c r="J100" s="79">
        <f t="shared" si="10"/>
        <v>0</v>
      </c>
      <c r="K100" s="72" t="s">
        <v>14</v>
      </c>
      <c r="L100" s="79"/>
      <c r="M100" s="79"/>
    </row>
    <row r="101" spans="1:15" ht="13.8" thickBot="1" x14ac:dyDescent="0.3">
      <c r="B101" s="72"/>
      <c r="C101" s="72" t="s">
        <v>57</v>
      </c>
      <c r="D101" s="72"/>
      <c r="E101" s="72"/>
      <c r="F101" s="119"/>
      <c r="G101" s="74" t="s">
        <v>20</v>
      </c>
      <c r="H101" s="119"/>
      <c r="I101" s="73" t="s">
        <v>5</v>
      </c>
      <c r="J101" s="79">
        <f t="shared" si="10"/>
        <v>0</v>
      </c>
      <c r="K101" s="72" t="s">
        <v>14</v>
      </c>
      <c r="L101" s="79"/>
      <c r="M101" s="79"/>
    </row>
    <row r="102" spans="1:15" s="8" customFormat="1" x14ac:dyDescent="0.25">
      <c r="A102" s="791"/>
      <c r="B102" s="241"/>
      <c r="C102" s="241" t="s">
        <v>16</v>
      </c>
      <c r="D102" s="241"/>
      <c r="E102" s="241"/>
      <c r="F102" s="273"/>
      <c r="G102" s="242"/>
      <c r="H102" s="273"/>
      <c r="I102" s="243"/>
      <c r="J102" s="243">
        <f>SUM(J90:J101)</f>
        <v>55.92</v>
      </c>
      <c r="K102" s="241" t="s">
        <v>14</v>
      </c>
      <c r="L102" s="241"/>
      <c r="M102" s="241"/>
    </row>
    <row r="103" spans="1:15" x14ac:dyDescent="0.25">
      <c r="B103" s="72"/>
      <c r="C103" s="72"/>
      <c r="D103" s="72"/>
      <c r="E103" s="72"/>
      <c r="F103" s="74"/>
      <c r="G103" s="74"/>
      <c r="H103" s="73"/>
      <c r="I103" s="73"/>
      <c r="J103" s="79"/>
      <c r="K103" s="72"/>
      <c r="L103" s="79"/>
      <c r="M103" s="79"/>
    </row>
    <row r="104" spans="1:15" x14ac:dyDescent="0.25">
      <c r="A104" s="796"/>
      <c r="N104" s="5"/>
      <c r="O104" s="5"/>
    </row>
    <row r="105" spans="1:15" ht="15.6" x14ac:dyDescent="0.3">
      <c r="A105" s="796"/>
      <c r="B105" s="110" t="s">
        <v>285</v>
      </c>
      <c r="C105" s="82"/>
      <c r="D105" s="82"/>
      <c r="E105" s="82"/>
      <c r="F105" s="965" t="s">
        <v>159</v>
      </c>
      <c r="G105" s="965"/>
      <c r="H105" s="965" t="s">
        <v>158</v>
      </c>
      <c r="I105" s="965"/>
      <c r="J105" s="965" t="s">
        <v>273</v>
      </c>
      <c r="K105" s="965"/>
      <c r="L105" s="84"/>
      <c r="M105" s="84"/>
      <c r="N105" s="5"/>
      <c r="O105" s="5"/>
    </row>
    <row r="106" spans="1:15" ht="13.8" thickBot="1" x14ac:dyDescent="0.3">
      <c r="A106" s="796"/>
      <c r="B106" s="82"/>
      <c r="C106" s="82"/>
      <c r="D106" s="82"/>
      <c r="E106" s="82"/>
      <c r="F106" s="82"/>
      <c r="G106" s="82"/>
      <c r="H106" s="83"/>
      <c r="I106" s="83"/>
      <c r="J106" s="84"/>
      <c r="K106" s="84"/>
      <c r="L106" s="84"/>
      <c r="M106" s="84"/>
      <c r="N106" s="5"/>
      <c r="O106" s="5"/>
    </row>
    <row r="107" spans="1:15" ht="13.8" thickBot="1" x14ac:dyDescent="0.3">
      <c r="A107" s="796"/>
      <c r="B107" s="82"/>
      <c r="C107" s="82" t="s">
        <v>286</v>
      </c>
      <c r="D107" s="84"/>
      <c r="E107" s="82"/>
      <c r="F107" s="463">
        <f>S10*'Gårdens info'!$G$18/1</f>
        <v>0</v>
      </c>
      <c r="G107" s="82" t="s">
        <v>15</v>
      </c>
      <c r="H107" s="99">
        <v>0.01</v>
      </c>
      <c r="I107" s="83" t="s">
        <v>7</v>
      </c>
      <c r="J107" s="85">
        <f>F107*H107</f>
        <v>0</v>
      </c>
      <c r="K107" s="82" t="s">
        <v>14</v>
      </c>
      <c r="L107" s="84"/>
      <c r="M107" s="84"/>
      <c r="N107" s="5"/>
      <c r="O107" s="5"/>
    </row>
    <row r="108" spans="1:15" ht="13.8" thickBot="1" x14ac:dyDescent="0.3">
      <c r="A108" s="796"/>
      <c r="B108" s="82"/>
      <c r="C108" s="82" t="s">
        <v>287</v>
      </c>
      <c r="D108" s="84"/>
      <c r="E108" s="82"/>
      <c r="F108" s="463">
        <f>S11*'Gårdens info'!$G$18/1</f>
        <v>0</v>
      </c>
      <c r="G108" s="82" t="s">
        <v>15</v>
      </c>
      <c r="H108" s="99">
        <v>0.01</v>
      </c>
      <c r="I108" s="83" t="s">
        <v>7</v>
      </c>
      <c r="J108" s="85">
        <f t="shared" ref="J108:J114" si="11">F108*H108</f>
        <v>0</v>
      </c>
      <c r="K108" s="82" t="s">
        <v>14</v>
      </c>
      <c r="L108" s="84"/>
      <c r="M108" s="84"/>
      <c r="N108" s="5"/>
      <c r="O108" s="5"/>
    </row>
    <row r="109" spans="1:15" ht="13.8" thickBot="1" x14ac:dyDescent="0.3">
      <c r="A109" s="796"/>
      <c r="B109" s="82"/>
      <c r="C109" s="82" t="s">
        <v>288</v>
      </c>
      <c r="D109" s="84"/>
      <c r="E109" s="82"/>
      <c r="F109" s="463">
        <f>S12*'Gårdens info'!$G$18/1</f>
        <v>0</v>
      </c>
      <c r="G109" s="82" t="s">
        <v>15</v>
      </c>
      <c r="H109" s="99">
        <v>0.01</v>
      </c>
      <c r="I109" s="83" t="s">
        <v>7</v>
      </c>
      <c r="J109" s="85">
        <f t="shared" si="11"/>
        <v>0</v>
      </c>
      <c r="K109" s="82" t="s">
        <v>14</v>
      </c>
      <c r="L109" s="84"/>
      <c r="M109" s="84"/>
      <c r="N109" s="5"/>
      <c r="O109" s="5"/>
    </row>
    <row r="110" spans="1:15" ht="13.8" thickBot="1" x14ac:dyDescent="0.3">
      <c r="A110" s="796"/>
      <c r="B110" s="82"/>
      <c r="C110" s="82" t="s">
        <v>289</v>
      </c>
      <c r="D110" s="84"/>
      <c r="E110" s="82"/>
      <c r="F110" s="463">
        <f>S13*'Gårdens info'!$G$18/1</f>
        <v>0</v>
      </c>
      <c r="G110" s="82" t="s">
        <v>15</v>
      </c>
      <c r="H110" s="99">
        <v>0.05</v>
      </c>
      <c r="I110" s="83" t="s">
        <v>7</v>
      </c>
      <c r="J110" s="85">
        <f t="shared" si="11"/>
        <v>0</v>
      </c>
      <c r="K110" s="82" t="s">
        <v>14</v>
      </c>
      <c r="L110" s="84"/>
      <c r="M110" s="84"/>
      <c r="N110" s="5"/>
      <c r="O110" s="5"/>
    </row>
    <row r="111" spans="1:15" ht="13.8" thickBot="1" x14ac:dyDescent="0.3">
      <c r="A111" s="796"/>
      <c r="B111" s="82"/>
      <c r="C111" s="119" t="s">
        <v>290</v>
      </c>
      <c r="D111" s="99"/>
      <c r="E111" s="82" t="s">
        <v>21</v>
      </c>
      <c r="F111" s="463">
        <f>IF(J19&gt;0,S14*'Gårdens info'!$G$18/D111,0)</f>
        <v>0</v>
      </c>
      <c r="G111" s="82" t="s">
        <v>15</v>
      </c>
      <c r="H111" s="99"/>
      <c r="I111" s="83" t="s">
        <v>7</v>
      </c>
      <c r="J111" s="85">
        <f t="shared" ref="J111:J113" si="12">F111*H111</f>
        <v>0</v>
      </c>
      <c r="K111" s="82" t="s">
        <v>14</v>
      </c>
      <c r="L111" s="84"/>
      <c r="M111" s="84"/>
      <c r="N111" s="5"/>
      <c r="O111" s="5"/>
    </row>
    <row r="112" spans="1:15" ht="13.8" thickBot="1" x14ac:dyDescent="0.3">
      <c r="A112" s="796"/>
      <c r="B112" s="82"/>
      <c r="C112" s="119" t="s">
        <v>290</v>
      </c>
      <c r="D112" s="99"/>
      <c r="E112" s="82" t="s">
        <v>21</v>
      </c>
      <c r="F112" s="463">
        <f>IF(J20&gt;0,S15*'Gårdens info'!$G$18/D112,0)</f>
        <v>0</v>
      </c>
      <c r="G112" s="82" t="s">
        <v>15</v>
      </c>
      <c r="H112" s="99"/>
      <c r="I112" s="83" t="s">
        <v>7</v>
      </c>
      <c r="J112" s="85">
        <f t="shared" si="12"/>
        <v>0</v>
      </c>
      <c r="K112" s="82" t="s">
        <v>14</v>
      </c>
      <c r="L112" s="84"/>
      <c r="M112" s="84"/>
      <c r="N112" s="5"/>
      <c r="O112" s="5"/>
    </row>
    <row r="113" spans="1:21" ht="13.8" thickBot="1" x14ac:dyDescent="0.3">
      <c r="A113" s="796"/>
      <c r="B113" s="82"/>
      <c r="C113" s="119" t="s">
        <v>290</v>
      </c>
      <c r="D113" s="99"/>
      <c r="E113" s="82" t="s">
        <v>21</v>
      </c>
      <c r="F113" s="463">
        <f>IF(J21&gt;0,S16*'Gårdens info'!$G$18/D113,0)</f>
        <v>0</v>
      </c>
      <c r="G113" s="82" t="s">
        <v>15</v>
      </c>
      <c r="H113" s="99"/>
      <c r="I113" s="83" t="s">
        <v>7</v>
      </c>
      <c r="J113" s="85">
        <f t="shared" si="12"/>
        <v>0</v>
      </c>
      <c r="K113" s="82" t="s">
        <v>14</v>
      </c>
      <c r="L113" s="84"/>
      <c r="M113" s="84"/>
      <c r="N113" s="5"/>
      <c r="O113" s="5"/>
    </row>
    <row r="114" spans="1:21" ht="13.8" thickBot="1" x14ac:dyDescent="0.3">
      <c r="A114" s="796"/>
      <c r="B114" s="82"/>
      <c r="C114" s="119" t="s">
        <v>290</v>
      </c>
      <c r="D114" s="99"/>
      <c r="E114" s="82" t="s">
        <v>21</v>
      </c>
      <c r="F114" s="463">
        <f>IF(J22&gt;0,S17*'Gårdens info'!$G$18/D114,0)</f>
        <v>0</v>
      </c>
      <c r="G114" s="82" t="s">
        <v>15</v>
      </c>
      <c r="H114" s="99"/>
      <c r="I114" s="83" t="s">
        <v>7</v>
      </c>
      <c r="J114" s="85">
        <f t="shared" si="11"/>
        <v>0</v>
      </c>
      <c r="K114" s="82" t="s">
        <v>14</v>
      </c>
      <c r="L114" s="84"/>
      <c r="M114" s="84"/>
      <c r="N114" s="5"/>
      <c r="O114" s="5"/>
    </row>
    <row r="115" spans="1:21" x14ac:dyDescent="0.25">
      <c r="A115" s="796"/>
      <c r="B115" s="245"/>
      <c r="C115" s="245" t="s">
        <v>196</v>
      </c>
      <c r="D115" s="245"/>
      <c r="E115" s="245"/>
      <c r="F115" s="246"/>
      <c r="G115" s="245"/>
      <c r="H115" s="247"/>
      <c r="I115" s="248"/>
      <c r="J115" s="249">
        <f>SUM(J107:J114)</f>
        <v>0</v>
      </c>
      <c r="K115" s="245" t="s">
        <v>14</v>
      </c>
      <c r="L115" s="245"/>
      <c r="M115" s="245"/>
      <c r="N115" s="5"/>
      <c r="O115" s="5"/>
    </row>
    <row r="116" spans="1:21" x14ac:dyDescent="0.25">
      <c r="A116" s="796"/>
      <c r="B116" s="82"/>
      <c r="C116" s="82"/>
      <c r="D116" s="82"/>
      <c r="E116" s="82"/>
      <c r="F116" s="82"/>
      <c r="G116" s="82"/>
      <c r="H116" s="83"/>
      <c r="I116" s="83"/>
      <c r="J116" s="85"/>
      <c r="K116" s="82"/>
      <c r="L116" s="84"/>
      <c r="M116" s="84"/>
      <c r="N116" s="5"/>
      <c r="O116" s="5"/>
    </row>
    <row r="117" spans="1:21" x14ac:dyDescent="0.25">
      <c r="A117" s="796"/>
      <c r="N117" s="5"/>
      <c r="O117" s="5"/>
    </row>
    <row r="118" spans="1:21" s="8" customFormat="1" ht="15.6" x14ac:dyDescent="0.3">
      <c r="A118" s="797"/>
      <c r="B118" s="111" t="s">
        <v>291</v>
      </c>
      <c r="C118" s="87"/>
      <c r="D118" s="87"/>
      <c r="E118" s="87"/>
      <c r="F118" s="966" t="s">
        <v>159</v>
      </c>
      <c r="G118" s="966"/>
      <c r="H118" s="966" t="s">
        <v>158</v>
      </c>
      <c r="I118" s="966"/>
      <c r="J118" s="966" t="s">
        <v>273</v>
      </c>
      <c r="K118" s="966"/>
      <c r="L118" s="89"/>
      <c r="M118" s="89"/>
      <c r="N118" s="5"/>
      <c r="O118" s="5"/>
      <c r="P118"/>
      <c r="Q118"/>
      <c r="R118"/>
      <c r="S118"/>
      <c r="T118"/>
      <c r="U118"/>
    </row>
    <row r="119" spans="1:21" ht="13.8" thickBot="1" x14ac:dyDescent="0.3">
      <c r="A119" s="796"/>
      <c r="B119" s="87"/>
      <c r="C119" s="87"/>
      <c r="D119" s="87"/>
      <c r="E119" s="87"/>
      <c r="F119" s="87"/>
      <c r="G119" s="87"/>
      <c r="H119" s="88"/>
      <c r="I119" s="88"/>
      <c r="J119" s="89"/>
      <c r="K119" s="89"/>
      <c r="L119" s="89"/>
      <c r="M119" s="89"/>
      <c r="N119" s="5"/>
      <c r="O119" s="5"/>
    </row>
    <row r="120" spans="1:21" ht="13.8" thickBot="1" x14ac:dyDescent="0.3">
      <c r="A120" s="796"/>
      <c r="B120" s="87"/>
      <c r="C120" s="87" t="s">
        <v>247</v>
      </c>
      <c r="D120" s="89"/>
      <c r="E120" s="87"/>
      <c r="F120" s="96">
        <f>'Gårdens info'!G18*'Gårdens info'!D18*0.9</f>
        <v>0</v>
      </c>
      <c r="G120" s="87" t="s">
        <v>21</v>
      </c>
      <c r="H120" s="99">
        <v>0.02</v>
      </c>
      <c r="I120" s="88" t="s">
        <v>6</v>
      </c>
      <c r="J120" s="90">
        <f t="shared" ref="J120:J122" si="13">F120*H120</f>
        <v>0</v>
      </c>
      <c r="K120" s="87" t="s">
        <v>14</v>
      </c>
      <c r="L120" s="89"/>
      <c r="M120" s="89"/>
      <c r="N120" s="9"/>
      <c r="O120" s="9"/>
      <c r="P120" s="8"/>
      <c r="Q120" s="8"/>
      <c r="R120" s="8"/>
      <c r="S120" s="8"/>
      <c r="T120" s="8"/>
      <c r="U120" s="8"/>
    </row>
    <row r="121" spans="1:21" ht="13.8" thickBot="1" x14ac:dyDescent="0.3">
      <c r="A121" s="796"/>
      <c r="B121" s="87"/>
      <c r="C121" s="87" t="s">
        <v>292</v>
      </c>
      <c r="D121" s="87"/>
      <c r="E121" s="87"/>
      <c r="F121" s="96"/>
      <c r="G121" s="87" t="s">
        <v>21</v>
      </c>
      <c r="H121" s="99"/>
      <c r="I121" s="88" t="s">
        <v>6</v>
      </c>
      <c r="J121" s="90">
        <f t="shared" si="13"/>
        <v>0</v>
      </c>
      <c r="K121" s="87" t="s">
        <v>14</v>
      </c>
      <c r="L121" s="89"/>
      <c r="M121" s="89"/>
      <c r="N121" s="5"/>
      <c r="O121" s="5"/>
    </row>
    <row r="122" spans="1:21" ht="13.8" thickBot="1" x14ac:dyDescent="0.3">
      <c r="A122" s="796"/>
      <c r="B122" s="87"/>
      <c r="C122" s="87" t="s">
        <v>292</v>
      </c>
      <c r="D122" s="87"/>
      <c r="E122" s="87"/>
      <c r="F122" s="96"/>
      <c r="G122" s="87" t="s">
        <v>21</v>
      </c>
      <c r="H122" s="99"/>
      <c r="I122" s="88" t="s">
        <v>6</v>
      </c>
      <c r="J122" s="90">
        <f t="shared" si="13"/>
        <v>0</v>
      </c>
      <c r="K122" s="87" t="s">
        <v>14</v>
      </c>
      <c r="L122" s="89"/>
      <c r="M122" s="89"/>
      <c r="N122" s="5"/>
      <c r="O122" s="5"/>
    </row>
    <row r="123" spans="1:21" x14ac:dyDescent="0.25">
      <c r="A123" s="796"/>
      <c r="B123" s="250"/>
      <c r="C123" s="250" t="s">
        <v>196</v>
      </c>
      <c r="D123" s="250"/>
      <c r="E123" s="250"/>
      <c r="F123" s="251"/>
      <c r="G123" s="250"/>
      <c r="H123" s="252"/>
      <c r="I123" s="253"/>
      <c r="J123" s="254">
        <f>SUM(J120:J122)</f>
        <v>0</v>
      </c>
      <c r="K123" s="250" t="s">
        <v>14</v>
      </c>
      <c r="L123" s="250"/>
      <c r="M123" s="250"/>
      <c r="N123" s="5"/>
      <c r="O123" s="5"/>
    </row>
    <row r="124" spans="1:21" x14ac:dyDescent="0.25">
      <c r="A124" s="796"/>
      <c r="B124" s="87"/>
      <c r="C124" s="87"/>
      <c r="D124" s="87"/>
      <c r="E124" s="87"/>
      <c r="F124" s="87"/>
      <c r="G124" s="87"/>
      <c r="H124" s="88"/>
      <c r="I124" s="88"/>
      <c r="J124" s="90"/>
      <c r="K124" s="87"/>
      <c r="L124" s="89"/>
      <c r="M124" s="89"/>
      <c r="N124" s="5"/>
    </row>
    <row r="125" spans="1:21" x14ac:dyDescent="0.25">
      <c r="A125" s="796"/>
      <c r="N125" s="5"/>
    </row>
    <row r="126" spans="1:21" ht="15.6" x14ac:dyDescent="0.3">
      <c r="A126" s="796"/>
      <c r="B126" s="219" t="s">
        <v>293</v>
      </c>
      <c r="C126" s="220"/>
      <c r="D126" s="220"/>
      <c r="E126" s="220"/>
      <c r="F126" s="964" t="s">
        <v>159</v>
      </c>
      <c r="G126" s="964"/>
      <c r="H126" s="964" t="s">
        <v>158</v>
      </c>
      <c r="I126" s="964"/>
      <c r="J126" s="964" t="s">
        <v>273</v>
      </c>
      <c r="K126" s="964"/>
      <c r="L126" s="222"/>
      <c r="M126" s="222"/>
      <c r="N126" s="5"/>
    </row>
    <row r="127" spans="1:21" ht="13.8" thickBot="1" x14ac:dyDescent="0.3">
      <c r="A127" s="796"/>
      <c r="B127" s="220"/>
      <c r="C127" s="220"/>
      <c r="D127" s="220"/>
      <c r="E127" s="220"/>
      <c r="F127" s="220"/>
      <c r="G127" s="220"/>
      <c r="H127" s="221"/>
      <c r="I127" s="221"/>
      <c r="J127" s="222"/>
      <c r="K127" s="222"/>
      <c r="L127" s="222"/>
      <c r="M127" s="222"/>
      <c r="N127" s="5"/>
    </row>
    <row r="128" spans="1:21" ht="13.8" thickBot="1" x14ac:dyDescent="0.3">
      <c r="A128" s="796"/>
      <c r="B128" s="220"/>
      <c r="C128" s="220" t="s">
        <v>294</v>
      </c>
      <c r="D128" s="222"/>
      <c r="E128" s="220"/>
      <c r="F128" s="96"/>
      <c r="G128" s="220" t="s">
        <v>0</v>
      </c>
      <c r="H128" s="99"/>
      <c r="I128" s="221" t="s">
        <v>14</v>
      </c>
      <c r="J128" s="223">
        <f t="shared" ref="J128:J130" si="14">F128*H128</f>
        <v>0</v>
      </c>
      <c r="K128" s="220" t="s">
        <v>14</v>
      </c>
      <c r="L128" s="222"/>
      <c r="M128" s="222"/>
      <c r="N128" s="5"/>
    </row>
    <row r="129" spans="1:21" ht="13.8" thickBot="1" x14ac:dyDescent="0.3">
      <c r="B129" s="220"/>
      <c r="C129" s="220" t="s">
        <v>294</v>
      </c>
      <c r="D129" s="220"/>
      <c r="E129" s="220"/>
      <c r="F129" s="96"/>
      <c r="G129" s="220" t="s">
        <v>0</v>
      </c>
      <c r="H129" s="99"/>
      <c r="I129" s="221" t="s">
        <v>14</v>
      </c>
      <c r="J129" s="223">
        <f t="shared" si="14"/>
        <v>0</v>
      </c>
      <c r="K129" s="220" t="s">
        <v>14</v>
      </c>
      <c r="L129" s="222"/>
      <c r="M129" s="222"/>
    </row>
    <row r="130" spans="1:21" ht="13.8" thickBot="1" x14ac:dyDescent="0.3">
      <c r="B130" s="220"/>
      <c r="C130" s="220" t="s">
        <v>294</v>
      </c>
      <c r="D130" s="220"/>
      <c r="E130" s="220"/>
      <c r="F130" s="96"/>
      <c r="G130" s="220" t="s">
        <v>0</v>
      </c>
      <c r="H130" s="99"/>
      <c r="I130" s="221" t="s">
        <v>14</v>
      </c>
      <c r="J130" s="223">
        <f t="shared" si="14"/>
        <v>0</v>
      </c>
      <c r="K130" s="220" t="s">
        <v>14</v>
      </c>
      <c r="L130" s="222"/>
      <c r="M130" s="222"/>
    </row>
    <row r="131" spans="1:21" s="8" customFormat="1" x14ac:dyDescent="0.25">
      <c r="A131" s="791"/>
      <c r="B131" s="255"/>
      <c r="C131" s="255" t="s">
        <v>196</v>
      </c>
      <c r="D131" s="255"/>
      <c r="E131" s="255"/>
      <c r="F131" s="256"/>
      <c r="G131" s="255"/>
      <c r="H131" s="257"/>
      <c r="I131" s="258"/>
      <c r="J131" s="259">
        <f>SUM(J128:J130)</f>
        <v>0</v>
      </c>
      <c r="K131" s="255" t="s">
        <v>14</v>
      </c>
      <c r="L131" s="255"/>
      <c r="M131" s="255"/>
      <c r="N131"/>
      <c r="O131"/>
      <c r="P131"/>
      <c r="Q131"/>
      <c r="R131"/>
      <c r="S131"/>
      <c r="T131"/>
      <c r="U131"/>
    </row>
    <row r="132" spans="1:21" x14ac:dyDescent="0.25">
      <c r="B132" s="220"/>
      <c r="C132" s="220"/>
      <c r="D132" s="220"/>
      <c r="E132" s="220"/>
      <c r="F132" s="220"/>
      <c r="G132" s="220"/>
      <c r="H132" s="221"/>
      <c r="I132" s="221"/>
      <c r="J132" s="223"/>
      <c r="K132" s="220"/>
      <c r="L132" s="222"/>
      <c r="M132" s="222"/>
    </row>
    <row r="133" spans="1:21" ht="30" customHeight="1" x14ac:dyDescent="0.25">
      <c r="N133" s="8"/>
      <c r="O133" s="8"/>
      <c r="P133" s="8"/>
      <c r="Q133" s="8"/>
      <c r="R133" s="8"/>
      <c r="S133" s="8"/>
      <c r="T133" s="8"/>
      <c r="U133" s="8"/>
    </row>
    <row r="134" spans="1:21" ht="15.6" x14ac:dyDescent="0.3">
      <c r="B134" s="225" t="s">
        <v>295</v>
      </c>
      <c r="C134" s="226"/>
      <c r="D134" s="226"/>
      <c r="E134" s="227"/>
      <c r="F134" s="226" t="s">
        <v>159</v>
      </c>
      <c r="G134" s="228"/>
      <c r="H134" s="228" t="s">
        <v>158</v>
      </c>
      <c r="I134" s="226"/>
      <c r="J134" s="226"/>
      <c r="K134" s="229"/>
      <c r="L134" s="229"/>
      <c r="M134" s="229"/>
    </row>
    <row r="135" spans="1:21" ht="16.2" thickBot="1" x14ac:dyDescent="0.35">
      <c r="B135" s="225"/>
      <c r="C135" s="226"/>
      <c r="D135" s="226"/>
      <c r="E135" s="227"/>
      <c r="F135" s="226"/>
      <c r="G135" s="228"/>
      <c r="H135" s="228"/>
      <c r="I135" s="226"/>
      <c r="J135" s="226"/>
      <c r="K135" s="229"/>
      <c r="L135" s="229"/>
      <c r="M135" s="229"/>
    </row>
    <row r="136" spans="1:21" ht="13.8" thickBot="1" x14ac:dyDescent="0.3">
      <c r="B136" s="226"/>
      <c r="C136" s="226" t="s">
        <v>296</v>
      </c>
      <c r="D136" s="229"/>
      <c r="E136" s="230"/>
      <c r="F136" s="96">
        <v>10500</v>
      </c>
      <c r="G136" s="231" t="s">
        <v>18</v>
      </c>
      <c r="H136" s="96">
        <v>0.15</v>
      </c>
      <c r="I136" s="232" t="s">
        <v>10</v>
      </c>
      <c r="J136" s="229">
        <f>H136*F136</f>
        <v>1575</v>
      </c>
      <c r="K136" s="232" t="s">
        <v>14</v>
      </c>
      <c r="L136" s="229"/>
      <c r="M136" s="229"/>
    </row>
    <row r="137" spans="1:21" ht="13.8" thickBot="1" x14ac:dyDescent="0.3">
      <c r="B137" s="226"/>
      <c r="C137" s="226" t="s">
        <v>297</v>
      </c>
      <c r="D137" s="232">
        <f>F169/2</f>
        <v>72</v>
      </c>
      <c r="E137" s="226" t="s">
        <v>9</v>
      </c>
      <c r="F137" s="96">
        <f>+D137*8</f>
        <v>576</v>
      </c>
      <c r="G137" s="228" t="s">
        <v>20</v>
      </c>
      <c r="H137" s="96">
        <v>0.83</v>
      </c>
      <c r="I137" s="232" t="s">
        <v>5</v>
      </c>
      <c r="J137" s="229">
        <f>H137*F137</f>
        <v>478.08</v>
      </c>
      <c r="K137" s="232" t="s">
        <v>14</v>
      </c>
      <c r="L137" s="229"/>
      <c r="M137" s="229"/>
    </row>
    <row r="138" spans="1:21" ht="13.8" thickBot="1" x14ac:dyDescent="0.3">
      <c r="B138" s="226"/>
      <c r="C138" s="226" t="s">
        <v>298</v>
      </c>
      <c r="D138" s="232">
        <f>D137</f>
        <v>72</v>
      </c>
      <c r="E138" s="226" t="s">
        <v>9</v>
      </c>
      <c r="F138" s="96">
        <v>11.88</v>
      </c>
      <c r="G138" s="228" t="s">
        <v>21</v>
      </c>
      <c r="H138" s="96">
        <v>4</v>
      </c>
      <c r="I138" s="232" t="s">
        <v>6</v>
      </c>
      <c r="J138" s="229">
        <f t="shared" ref="J138:J142" si="15">H138*F138</f>
        <v>47.52</v>
      </c>
      <c r="K138" s="232" t="s">
        <v>14</v>
      </c>
      <c r="L138" s="229"/>
      <c r="M138" s="229"/>
    </row>
    <row r="139" spans="1:21" ht="13.8" thickBot="1" x14ac:dyDescent="0.3">
      <c r="B139" s="226"/>
      <c r="C139" s="226" t="s">
        <v>19</v>
      </c>
      <c r="D139" s="229"/>
      <c r="E139" s="232"/>
      <c r="F139" s="96">
        <v>200</v>
      </c>
      <c r="G139" s="228" t="s">
        <v>20</v>
      </c>
      <c r="H139" s="96">
        <v>1.53</v>
      </c>
      <c r="I139" s="232" t="s">
        <v>5</v>
      </c>
      <c r="J139" s="229">
        <f t="shared" si="15"/>
        <v>306</v>
      </c>
      <c r="K139" s="232" t="s">
        <v>14</v>
      </c>
      <c r="L139" s="229"/>
      <c r="M139" s="229"/>
    </row>
    <row r="140" spans="1:21" ht="13.8" thickBot="1" x14ac:dyDescent="0.3">
      <c r="B140" s="226"/>
      <c r="C140" s="226" t="s">
        <v>299</v>
      </c>
      <c r="D140" s="229"/>
      <c r="E140" s="232"/>
      <c r="F140" s="96"/>
      <c r="G140" s="228" t="s">
        <v>20</v>
      </c>
      <c r="H140" s="96"/>
      <c r="I140" s="232" t="s">
        <v>5</v>
      </c>
      <c r="J140" s="229">
        <f t="shared" si="15"/>
        <v>0</v>
      </c>
      <c r="K140" s="232" t="s">
        <v>14</v>
      </c>
      <c r="L140" s="229"/>
      <c r="M140" s="229"/>
    </row>
    <row r="141" spans="1:21" ht="13.8" thickBot="1" x14ac:dyDescent="0.3">
      <c r="B141" s="226"/>
      <c r="C141" s="226" t="s">
        <v>300</v>
      </c>
      <c r="D141" s="229"/>
      <c r="E141" s="232"/>
      <c r="F141" s="96"/>
      <c r="G141" s="228"/>
      <c r="H141" s="96"/>
      <c r="I141" s="232"/>
      <c r="J141" s="229">
        <f t="shared" si="15"/>
        <v>0</v>
      </c>
      <c r="K141" s="232" t="s">
        <v>14</v>
      </c>
      <c r="L141" s="229"/>
      <c r="M141" s="229"/>
    </row>
    <row r="142" spans="1:21" ht="13.8" thickBot="1" x14ac:dyDescent="0.3">
      <c r="B142" s="229"/>
      <c r="C142" s="226" t="s">
        <v>300</v>
      </c>
      <c r="D142" s="229"/>
      <c r="E142" s="229"/>
      <c r="F142" s="96"/>
      <c r="G142" s="229"/>
      <c r="H142" s="96"/>
      <c r="I142" s="229"/>
      <c r="J142" s="229">
        <f t="shared" si="15"/>
        <v>0</v>
      </c>
      <c r="K142" s="232" t="s">
        <v>14</v>
      </c>
      <c r="L142" s="229"/>
      <c r="M142" s="229"/>
    </row>
    <row r="143" spans="1:21" s="8" customFormat="1" x14ac:dyDescent="0.25">
      <c r="A143" s="791"/>
      <c r="B143" s="260"/>
      <c r="C143" s="260" t="s">
        <v>196</v>
      </c>
      <c r="D143" s="260"/>
      <c r="E143" s="260"/>
      <c r="F143" s="261"/>
      <c r="G143" s="260"/>
      <c r="H143" s="261"/>
      <c r="I143" s="260"/>
      <c r="J143" s="260">
        <f>SUM(J136:J142)</f>
        <v>2406.6</v>
      </c>
      <c r="K143" s="262" t="s">
        <v>14</v>
      </c>
      <c r="L143" s="260"/>
      <c r="M143" s="260"/>
    </row>
    <row r="144" spans="1:21" x14ac:dyDescent="0.25">
      <c r="B144" s="229"/>
      <c r="C144" s="229"/>
      <c r="D144" s="229"/>
      <c r="E144" s="229"/>
      <c r="F144" s="229"/>
      <c r="G144" s="229"/>
      <c r="H144" s="229"/>
      <c r="I144" s="229"/>
      <c r="J144" s="229"/>
      <c r="K144" s="229"/>
      <c r="L144" s="229"/>
      <c r="M144" s="229"/>
    </row>
    <row r="146" spans="1:21" ht="15.6" x14ac:dyDescent="0.3">
      <c r="B146" s="112" t="s">
        <v>301</v>
      </c>
      <c r="C146" s="101"/>
      <c r="D146" s="101"/>
      <c r="E146" s="101"/>
      <c r="F146" s="101"/>
      <c r="G146" s="101"/>
      <c r="H146" s="101"/>
      <c r="I146" s="101"/>
      <c r="J146" s="101"/>
      <c r="K146" s="101"/>
      <c r="L146" s="101"/>
      <c r="M146" s="101"/>
    </row>
    <row r="147" spans="1:21" ht="15.6" x14ac:dyDescent="0.3">
      <c r="B147" s="112"/>
      <c r="C147" s="101"/>
      <c r="D147" s="101"/>
      <c r="E147" s="101"/>
      <c r="F147" s="101"/>
      <c r="G147" s="101"/>
      <c r="H147" s="101"/>
      <c r="I147" s="101"/>
      <c r="J147" s="101"/>
      <c r="K147" s="101"/>
      <c r="L147" s="101"/>
      <c r="M147" s="101"/>
    </row>
    <row r="148" spans="1:21" ht="30" customHeight="1" x14ac:dyDescent="0.25">
      <c r="B148" s="961" t="s">
        <v>302</v>
      </c>
      <c r="C148" s="961"/>
      <c r="D148" s="961"/>
      <c r="E148" s="961"/>
      <c r="F148" s="961"/>
      <c r="G148" s="961"/>
      <c r="H148" s="961"/>
      <c r="I148" s="961"/>
      <c r="J148" s="961"/>
      <c r="K148" s="961"/>
      <c r="L148" s="961"/>
      <c r="M148" s="961"/>
    </row>
    <row r="149" spans="1:21" s="8" customFormat="1" ht="15.6" x14ac:dyDescent="0.3">
      <c r="A149" s="791"/>
      <c r="B149" s="112"/>
      <c r="C149" s="101"/>
      <c r="D149" s="101"/>
      <c r="E149" s="834"/>
      <c r="F149" s="834"/>
      <c r="G149" s="834"/>
      <c r="H149" s="835"/>
      <c r="I149" s="835"/>
      <c r="J149" s="834"/>
      <c r="K149" s="834"/>
      <c r="L149" s="835"/>
      <c r="M149" s="835"/>
      <c r="N149"/>
      <c r="O149"/>
      <c r="P149"/>
      <c r="Q149"/>
      <c r="R149"/>
      <c r="S149"/>
      <c r="T149"/>
      <c r="U149"/>
    </row>
    <row r="150" spans="1:21" ht="15.6" x14ac:dyDescent="0.3">
      <c r="B150" s="112"/>
      <c r="C150" s="101"/>
      <c r="D150" s="101"/>
      <c r="E150" s="962" t="s">
        <v>303</v>
      </c>
      <c r="F150" s="962"/>
      <c r="G150" s="962"/>
      <c r="H150" s="963" t="s">
        <v>158</v>
      </c>
      <c r="I150" s="963"/>
      <c r="J150" s="963" t="s">
        <v>304</v>
      </c>
      <c r="K150" s="963"/>
      <c r="L150" s="963" t="s">
        <v>158</v>
      </c>
      <c r="M150" s="963"/>
    </row>
    <row r="151" spans="1:21" ht="33" customHeight="1" thickBot="1" x14ac:dyDescent="0.3">
      <c r="B151" s="100"/>
      <c r="C151" s="101"/>
      <c r="D151" s="101"/>
      <c r="E151" s="101"/>
      <c r="F151" s="101"/>
      <c r="G151" s="101"/>
      <c r="H151" s="101"/>
      <c r="I151" s="101"/>
      <c r="J151" s="101"/>
      <c r="K151" s="101"/>
      <c r="L151" s="101"/>
      <c r="M151" s="101"/>
      <c r="N151" s="8"/>
      <c r="O151" s="8"/>
      <c r="P151" s="8"/>
      <c r="Q151" s="8"/>
      <c r="R151" s="8"/>
      <c r="S151" s="8"/>
      <c r="T151" s="8"/>
      <c r="U151" s="8"/>
    </row>
    <row r="152" spans="1:21" ht="13.8" thickBot="1" x14ac:dyDescent="0.3">
      <c r="B152" s="101"/>
      <c r="C152" s="102" t="s">
        <v>322</v>
      </c>
      <c r="D152" s="101"/>
      <c r="E152" s="101"/>
      <c r="F152" s="115">
        <v>2</v>
      </c>
      <c r="G152" s="104" t="s">
        <v>22</v>
      </c>
      <c r="H152" s="117">
        <v>14.5</v>
      </c>
      <c r="I152" s="104" t="s">
        <v>11</v>
      </c>
      <c r="J152" s="116"/>
      <c r="K152" s="104" t="s">
        <v>22</v>
      </c>
      <c r="L152" s="117">
        <v>14.5</v>
      </c>
      <c r="M152" s="104" t="s">
        <v>11</v>
      </c>
    </row>
    <row r="153" spans="1:21" ht="13.8" thickBot="1" x14ac:dyDescent="0.3">
      <c r="B153" s="101"/>
      <c r="C153" s="102" t="s">
        <v>321</v>
      </c>
      <c r="D153" s="101"/>
      <c r="E153" s="101"/>
      <c r="F153" s="115">
        <v>3</v>
      </c>
      <c r="G153" s="104" t="s">
        <v>22</v>
      </c>
      <c r="H153" s="114">
        <f>$H$152</f>
        <v>14.5</v>
      </c>
      <c r="I153" s="104" t="s">
        <v>11</v>
      </c>
      <c r="J153" s="116"/>
      <c r="K153" s="104" t="s">
        <v>22</v>
      </c>
      <c r="L153" s="114">
        <f>$L$152</f>
        <v>14.5</v>
      </c>
      <c r="M153" s="104" t="s">
        <v>11</v>
      </c>
    </row>
    <row r="154" spans="1:21" ht="13.8" thickBot="1" x14ac:dyDescent="0.3">
      <c r="B154" s="101"/>
      <c r="C154" s="102" t="s">
        <v>308</v>
      </c>
      <c r="D154" s="101"/>
      <c r="E154" s="101"/>
      <c r="F154" s="115">
        <v>6</v>
      </c>
      <c r="G154" s="104" t="s">
        <v>22</v>
      </c>
      <c r="H154" s="114">
        <f t="shared" ref="H154:H168" si="16">$H$152</f>
        <v>14.5</v>
      </c>
      <c r="I154" s="104" t="s">
        <v>11</v>
      </c>
      <c r="J154" s="116"/>
      <c r="K154" s="104" t="s">
        <v>22</v>
      </c>
      <c r="L154" s="114">
        <f t="shared" ref="L154:L168" si="17">$L$152</f>
        <v>14.5</v>
      </c>
      <c r="M154" s="104" t="s">
        <v>11</v>
      </c>
    </row>
    <row r="155" spans="1:21" ht="13.8" thickBot="1" x14ac:dyDescent="0.3">
      <c r="B155" s="101"/>
      <c r="C155" s="102" t="s">
        <v>311</v>
      </c>
      <c r="D155" s="101"/>
      <c r="E155" s="101"/>
      <c r="F155" s="115">
        <v>5</v>
      </c>
      <c r="G155" s="104" t="s">
        <v>22</v>
      </c>
      <c r="H155" s="114">
        <f t="shared" si="16"/>
        <v>14.5</v>
      </c>
      <c r="I155" s="104" t="s">
        <v>11</v>
      </c>
      <c r="J155" s="116">
        <v>10</v>
      </c>
      <c r="K155" s="104" t="s">
        <v>22</v>
      </c>
      <c r="L155" s="114">
        <f t="shared" si="17"/>
        <v>14.5</v>
      </c>
      <c r="M155" s="104" t="s">
        <v>11</v>
      </c>
    </row>
    <row r="156" spans="1:21" ht="13.8" thickBot="1" x14ac:dyDescent="0.3">
      <c r="B156" s="101"/>
      <c r="C156" s="102" t="s">
        <v>312</v>
      </c>
      <c r="D156" s="101"/>
      <c r="E156" s="101"/>
      <c r="F156" s="115">
        <v>8</v>
      </c>
      <c r="G156" s="104" t="s">
        <v>22</v>
      </c>
      <c r="H156" s="114">
        <f t="shared" si="16"/>
        <v>14.5</v>
      </c>
      <c r="I156" s="104" t="s">
        <v>11</v>
      </c>
      <c r="J156" s="116"/>
      <c r="K156" s="104" t="s">
        <v>22</v>
      </c>
      <c r="L156" s="114">
        <f t="shared" si="17"/>
        <v>14.5</v>
      </c>
      <c r="M156" s="104" t="s">
        <v>11</v>
      </c>
    </row>
    <row r="157" spans="1:21" ht="13.8" thickBot="1" x14ac:dyDescent="0.3">
      <c r="B157" s="101"/>
      <c r="C157" s="102" t="s">
        <v>315</v>
      </c>
      <c r="D157" s="101"/>
      <c r="E157" s="101"/>
      <c r="F157" s="115">
        <v>4</v>
      </c>
      <c r="G157" s="104" t="s">
        <v>22</v>
      </c>
      <c r="H157" s="114">
        <f t="shared" si="16"/>
        <v>14.5</v>
      </c>
      <c r="I157" s="104" t="s">
        <v>11</v>
      </c>
      <c r="J157" s="116"/>
      <c r="K157" s="104" t="s">
        <v>22</v>
      </c>
      <c r="L157" s="114">
        <f t="shared" si="17"/>
        <v>14.5</v>
      </c>
      <c r="M157" s="104" t="s">
        <v>11</v>
      </c>
    </row>
    <row r="158" spans="1:21" s="8" customFormat="1" ht="13.8" thickBot="1" x14ac:dyDescent="0.3">
      <c r="A158" s="791"/>
      <c r="B158" s="101"/>
      <c r="C158" s="102" t="s">
        <v>313</v>
      </c>
      <c r="D158" s="101"/>
      <c r="E158" s="101"/>
      <c r="F158" s="115">
        <v>20</v>
      </c>
      <c r="G158" s="104" t="s">
        <v>22</v>
      </c>
      <c r="H158" s="114">
        <f t="shared" si="16"/>
        <v>14.5</v>
      </c>
      <c r="I158" s="104" t="s">
        <v>11</v>
      </c>
      <c r="J158" s="116"/>
      <c r="K158" s="104" t="s">
        <v>22</v>
      </c>
      <c r="L158" s="114">
        <f t="shared" si="17"/>
        <v>14.5</v>
      </c>
      <c r="M158" s="104" t="s">
        <v>11</v>
      </c>
      <c r="N158"/>
      <c r="O158"/>
      <c r="P158"/>
      <c r="Q158"/>
      <c r="R158"/>
      <c r="S158"/>
      <c r="T158"/>
      <c r="U158"/>
    </row>
    <row r="159" spans="1:21" ht="13.8" thickBot="1" x14ac:dyDescent="0.3">
      <c r="B159" s="101"/>
      <c r="C159" s="102" t="s">
        <v>314</v>
      </c>
      <c r="D159" s="101"/>
      <c r="E159" s="101"/>
      <c r="F159" s="115">
        <v>4</v>
      </c>
      <c r="G159" s="104" t="s">
        <v>22</v>
      </c>
      <c r="H159" s="114">
        <f t="shared" si="16"/>
        <v>14.5</v>
      </c>
      <c r="I159" s="104" t="s">
        <v>11</v>
      </c>
      <c r="J159" s="116"/>
      <c r="K159" s="104" t="s">
        <v>22</v>
      </c>
      <c r="L159" s="114">
        <f t="shared" si="17"/>
        <v>14.5</v>
      </c>
      <c r="M159" s="104" t="s">
        <v>11</v>
      </c>
    </row>
    <row r="160" spans="1:21" ht="13.8" thickBot="1" x14ac:dyDescent="0.3">
      <c r="B160" s="101"/>
      <c r="C160" s="102" t="s">
        <v>316</v>
      </c>
      <c r="D160" s="101"/>
      <c r="E160" s="101"/>
      <c r="F160" s="115">
        <v>4</v>
      </c>
      <c r="G160" s="104" t="s">
        <v>22</v>
      </c>
      <c r="H160" s="114">
        <f t="shared" si="16"/>
        <v>14.5</v>
      </c>
      <c r="I160" s="104" t="s">
        <v>11</v>
      </c>
      <c r="J160" s="116"/>
      <c r="K160" s="104" t="s">
        <v>22</v>
      </c>
      <c r="L160" s="114">
        <f t="shared" si="17"/>
        <v>14.5</v>
      </c>
      <c r="M160" s="104" t="s">
        <v>11</v>
      </c>
      <c r="N160" s="8"/>
      <c r="O160" s="8"/>
      <c r="P160" s="8"/>
      <c r="Q160" s="8"/>
      <c r="R160" s="8"/>
      <c r="S160" s="8"/>
      <c r="T160" s="8"/>
      <c r="U160" s="8"/>
    </row>
    <row r="161" spans="2:21" ht="13.8" thickBot="1" x14ac:dyDescent="0.3">
      <c r="B161" s="101"/>
      <c r="C161" s="102" t="s">
        <v>317</v>
      </c>
      <c r="D161" s="101"/>
      <c r="E161" s="101"/>
      <c r="F161" s="115">
        <v>8</v>
      </c>
      <c r="G161" s="104" t="s">
        <v>22</v>
      </c>
      <c r="H161" s="114">
        <f t="shared" si="16"/>
        <v>14.5</v>
      </c>
      <c r="I161" s="104" t="s">
        <v>11</v>
      </c>
      <c r="J161" s="116"/>
      <c r="K161" s="104" t="s">
        <v>22</v>
      </c>
      <c r="L161" s="114">
        <f t="shared" si="17"/>
        <v>14.5</v>
      </c>
      <c r="M161" s="104" t="s">
        <v>11</v>
      </c>
    </row>
    <row r="162" spans="2:21" ht="13.8" thickBot="1" x14ac:dyDescent="0.3">
      <c r="B162" s="101"/>
      <c r="C162" s="102" t="s">
        <v>132</v>
      </c>
      <c r="D162" s="101"/>
      <c r="E162" s="101"/>
      <c r="F162" s="115">
        <v>20</v>
      </c>
      <c r="G162" s="104" t="s">
        <v>22</v>
      </c>
      <c r="H162" s="114">
        <f t="shared" si="16"/>
        <v>14.5</v>
      </c>
      <c r="I162" s="104" t="s">
        <v>11</v>
      </c>
      <c r="J162" s="116">
        <v>20</v>
      </c>
      <c r="K162" s="104" t="s">
        <v>22</v>
      </c>
      <c r="L162" s="114">
        <f t="shared" si="17"/>
        <v>14.5</v>
      </c>
      <c r="M162" s="104" t="s">
        <v>11</v>
      </c>
    </row>
    <row r="163" spans="2:21" ht="13.8" thickBot="1" x14ac:dyDescent="0.3">
      <c r="B163" s="101"/>
      <c r="C163" s="102" t="s">
        <v>318</v>
      </c>
      <c r="D163" s="101"/>
      <c r="E163" s="101"/>
      <c r="F163" s="115">
        <v>10</v>
      </c>
      <c r="G163" s="104" t="s">
        <v>22</v>
      </c>
      <c r="H163" s="114">
        <f t="shared" si="16"/>
        <v>14.5</v>
      </c>
      <c r="I163" s="104" t="s">
        <v>11</v>
      </c>
      <c r="J163" s="116"/>
      <c r="K163" s="104" t="s">
        <v>22</v>
      </c>
      <c r="L163" s="114">
        <f t="shared" si="17"/>
        <v>14.5</v>
      </c>
      <c r="M163" s="104" t="s">
        <v>11</v>
      </c>
    </row>
    <row r="164" spans="2:21" ht="13.8" thickBot="1" x14ac:dyDescent="0.3">
      <c r="B164" s="101"/>
      <c r="C164" s="102" t="s">
        <v>319</v>
      </c>
      <c r="D164" s="101"/>
      <c r="E164" s="101"/>
      <c r="F164" s="116">
        <v>40</v>
      </c>
      <c r="G164" s="104" t="s">
        <v>22</v>
      </c>
      <c r="H164" s="114">
        <f t="shared" si="16"/>
        <v>14.5</v>
      </c>
      <c r="I164" s="104" t="s">
        <v>11</v>
      </c>
      <c r="J164" s="116">
        <v>40</v>
      </c>
      <c r="K164" s="104" t="s">
        <v>22</v>
      </c>
      <c r="L164" s="114">
        <f t="shared" si="17"/>
        <v>14.5</v>
      </c>
      <c r="M164" s="104" t="s">
        <v>11</v>
      </c>
    </row>
    <row r="165" spans="2:21" ht="13.8" thickBot="1" x14ac:dyDescent="0.3">
      <c r="B165" s="101"/>
      <c r="C165" s="102" t="s">
        <v>306</v>
      </c>
      <c r="D165" s="101"/>
      <c r="E165" s="101"/>
      <c r="F165" s="116">
        <v>10</v>
      </c>
      <c r="G165" s="104" t="s">
        <v>22</v>
      </c>
      <c r="H165" s="114">
        <f t="shared" si="16"/>
        <v>14.5</v>
      </c>
      <c r="I165" s="104" t="s">
        <v>11</v>
      </c>
      <c r="J165" s="116"/>
      <c r="K165" s="104" t="s">
        <v>22</v>
      </c>
      <c r="L165" s="114">
        <f t="shared" si="17"/>
        <v>14.5</v>
      </c>
      <c r="M165" s="104" t="s">
        <v>11</v>
      </c>
    </row>
    <row r="166" spans="2:21" ht="13.8" thickBot="1" x14ac:dyDescent="0.3">
      <c r="B166" s="101"/>
      <c r="C166" s="102" t="s">
        <v>305</v>
      </c>
      <c r="D166" s="101"/>
      <c r="E166" s="101"/>
      <c r="F166" s="116"/>
      <c r="G166" s="104" t="s">
        <v>22</v>
      </c>
      <c r="H166" s="114">
        <f t="shared" si="16"/>
        <v>14.5</v>
      </c>
      <c r="I166" s="104" t="s">
        <v>11</v>
      </c>
      <c r="J166" s="97"/>
      <c r="K166" s="104" t="s">
        <v>22</v>
      </c>
      <c r="L166" s="114">
        <f t="shared" si="17"/>
        <v>14.5</v>
      </c>
      <c r="M166" s="104" t="s">
        <v>11</v>
      </c>
    </row>
    <row r="167" spans="2:21" ht="13.8" thickBot="1" x14ac:dyDescent="0.3">
      <c r="B167" s="101"/>
      <c r="C167" s="102" t="s">
        <v>305</v>
      </c>
      <c r="D167" s="101"/>
      <c r="E167" s="101"/>
      <c r="F167" s="116"/>
      <c r="G167" s="104" t="s">
        <v>22</v>
      </c>
      <c r="H167" s="114">
        <f t="shared" si="16"/>
        <v>14.5</v>
      </c>
      <c r="I167" s="104" t="s">
        <v>11</v>
      </c>
      <c r="J167" s="97"/>
      <c r="K167" s="104" t="s">
        <v>22</v>
      </c>
      <c r="L167" s="114">
        <f t="shared" si="17"/>
        <v>14.5</v>
      </c>
      <c r="M167" s="104" t="s">
        <v>11</v>
      </c>
    </row>
    <row r="168" spans="2:21" ht="13.8" thickBot="1" x14ac:dyDescent="0.3">
      <c r="B168" s="101"/>
      <c r="C168" s="102" t="s">
        <v>305</v>
      </c>
      <c r="D168" s="103"/>
      <c r="E168" s="103"/>
      <c r="F168" s="97"/>
      <c r="G168" s="104" t="s">
        <v>22</v>
      </c>
      <c r="H168" s="114">
        <f t="shared" si="16"/>
        <v>14.5</v>
      </c>
      <c r="I168" s="104" t="s">
        <v>11</v>
      </c>
      <c r="J168" s="97"/>
      <c r="K168" s="104" t="s">
        <v>22</v>
      </c>
      <c r="L168" s="114">
        <f t="shared" si="17"/>
        <v>14.5</v>
      </c>
      <c r="M168" s="104" t="s">
        <v>11</v>
      </c>
    </row>
    <row r="169" spans="2:21" x14ac:dyDescent="0.25">
      <c r="B169" s="264"/>
      <c r="C169" s="265" t="s">
        <v>196</v>
      </c>
      <c r="D169" s="266"/>
      <c r="E169" s="266"/>
      <c r="F169" s="267">
        <f>SUM(F152:F168)</f>
        <v>144</v>
      </c>
      <c r="G169" s="264" t="s">
        <v>22</v>
      </c>
      <c r="H169" s="268">
        <f>F169*H152</f>
        <v>2088</v>
      </c>
      <c r="I169" s="264" t="s">
        <v>14</v>
      </c>
      <c r="J169" s="269">
        <f>SUM(J152:J168)</f>
        <v>70</v>
      </c>
      <c r="K169" s="264" t="s">
        <v>22</v>
      </c>
      <c r="L169" s="268">
        <f>J169*L152</f>
        <v>1015</v>
      </c>
      <c r="M169" s="264" t="s">
        <v>14</v>
      </c>
    </row>
    <row r="171" spans="2:21" ht="40.049999999999997" customHeight="1" x14ac:dyDescent="0.25">
      <c r="N171" s="8"/>
      <c r="O171" s="8"/>
      <c r="P171" s="8"/>
      <c r="Q171" s="8"/>
      <c r="R171" s="8"/>
      <c r="S171" s="8"/>
      <c r="T171" s="8"/>
      <c r="U171" s="8"/>
    </row>
    <row r="174" spans="2:21" ht="37.950000000000003" customHeight="1" x14ac:dyDescent="0.25"/>
    <row r="186" spans="1:21" s="8" customFormat="1" x14ac:dyDescent="0.25">
      <c r="A186" s="791"/>
      <c r="B186"/>
      <c r="C186"/>
      <c r="D186"/>
      <c r="E186"/>
      <c r="F186"/>
      <c r="G186"/>
      <c r="H186"/>
      <c r="I186"/>
      <c r="J186"/>
      <c r="K186"/>
      <c r="L186"/>
      <c r="M186"/>
      <c r="N186"/>
      <c r="O186"/>
      <c r="P186"/>
      <c r="Q186"/>
      <c r="R186"/>
      <c r="S186"/>
      <c r="T186"/>
      <c r="U186"/>
    </row>
    <row r="188" spans="1:21" x14ac:dyDescent="0.25">
      <c r="N188" s="8"/>
      <c r="O188" s="8"/>
      <c r="P188" s="8"/>
      <c r="Q188" s="8"/>
      <c r="R188" s="8"/>
      <c r="S188" s="8"/>
      <c r="T188" s="8"/>
      <c r="U188" s="8"/>
    </row>
  </sheetData>
  <mergeCells count="45">
    <mergeCell ref="F126:G126"/>
    <mergeCell ref="H126:I126"/>
    <mergeCell ref="J126:K126"/>
    <mergeCell ref="B148:M148"/>
    <mergeCell ref="E150:G150"/>
    <mergeCell ref="H150:I150"/>
    <mergeCell ref="J150:K150"/>
    <mergeCell ref="L150:M150"/>
    <mergeCell ref="F105:G105"/>
    <mergeCell ref="H105:I105"/>
    <mergeCell ref="J105:K105"/>
    <mergeCell ref="F118:G118"/>
    <mergeCell ref="H118:I118"/>
    <mergeCell ref="J118:K118"/>
    <mergeCell ref="L69:M69"/>
    <mergeCell ref="F76:G76"/>
    <mergeCell ref="H76:I76"/>
    <mergeCell ref="J76:K76"/>
    <mergeCell ref="F86:G86"/>
    <mergeCell ref="H86:I86"/>
    <mergeCell ref="J86:K86"/>
    <mergeCell ref="F71:G71"/>
    <mergeCell ref="H71:I71"/>
    <mergeCell ref="J71:K71"/>
    <mergeCell ref="C41:D41"/>
    <mergeCell ref="B45:D45"/>
    <mergeCell ref="C48:D48"/>
    <mergeCell ref="B52:C52"/>
    <mergeCell ref="C55:D55"/>
    <mergeCell ref="B57:D57"/>
    <mergeCell ref="B62:D62"/>
    <mergeCell ref="B64:D64"/>
    <mergeCell ref="B66:D66"/>
    <mergeCell ref="B69:E69"/>
    <mergeCell ref="B38:D38"/>
    <mergeCell ref="B4:L4"/>
    <mergeCell ref="O9:Q9"/>
    <mergeCell ref="T9:U9"/>
    <mergeCell ref="B11:D11"/>
    <mergeCell ref="O18:Q18"/>
    <mergeCell ref="B26:E26"/>
    <mergeCell ref="B27:E27"/>
    <mergeCell ref="B28:D28"/>
    <mergeCell ref="B31:C31"/>
    <mergeCell ref="C34:D34"/>
  </mergeCells>
  <hyperlinks>
    <hyperlink ref="L69" location="'Avomaan mansikka'!B2" display="PALAA SIVUN YLÄLAITAAN" xr:uid="{F0449F7C-4C31-5C42-BFDC-DC625FF93749}"/>
    <hyperlink ref="L69:M69" location="'Planterad grönsak 3'!A1" display="TILL SIDANS BÖRJAN" xr:uid="{2EBAB6B2-4D05-0449-BF18-90A38126450E}"/>
    <hyperlink ref="B31:C31" location="Ägendom!B13" display="BYGGNADER" xr:uid="{3271E6D7-E042-4B19-87AB-52B6B98DA90D}"/>
    <hyperlink ref="B38:D38" location="Ägendom!B27" display="MASKINER OCH UTRUSTNING" xr:uid="{DAE229E8-1BA3-47DE-9920-04E18F178767}"/>
    <hyperlink ref="B45:D45" location="Ägendom!B56" display="LÅNGVARIGA PRODUKTIONSMEDEL" xr:uid="{ED13763A-AA12-4E4C-97A6-C43D2EC0AB2C}"/>
    <hyperlink ref="B52:C52" location="Ägendom!B79" display="TÄCKDIKEN" xr:uid="{54F5ED59-385A-4812-8EDB-8A4AF374899C}"/>
    <hyperlink ref="B2" location="'Gårdens info'!A1" display="ÅTERGÅ TILL FRAMSIDAN" xr:uid="{0D7EF164-6E25-489E-9122-533D2F7F4FF9}"/>
    <hyperlink ref="B26:E26" location="'Gårdens info'!A131" display="ALLMÄNNA KOSTNADER, grönsakens andel" xr:uid="{0C8B7C5A-0CFD-42AB-9AD3-3A3C4436B064}"/>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A15B3C-3B59-5D42-9D62-B73C42F7E18B}">
  <sheetPr>
    <tabColor theme="5" tint="0.39997558519241921"/>
  </sheetPr>
  <dimension ref="A1:AD337"/>
  <sheetViews>
    <sheetView topLeftCell="A301" zoomScale="90" zoomScaleNormal="90" workbookViewId="0">
      <selection activeCell="D325" sqref="D325"/>
    </sheetView>
  </sheetViews>
  <sheetFormatPr defaultColWidth="11.44140625" defaultRowHeight="13.2" x14ac:dyDescent="0.25"/>
  <cols>
    <col min="1" max="1" width="5.33203125" style="86" customWidth="1"/>
    <col min="3" max="3" width="16.77734375" customWidth="1"/>
    <col min="4" max="4" width="22.6640625" customWidth="1"/>
    <col min="5" max="5" width="12.109375" bestFit="1" customWidth="1"/>
    <col min="6" max="6" width="21" customWidth="1"/>
    <col min="7" max="7" width="6.33203125" customWidth="1"/>
    <col min="9" max="9" width="6" customWidth="1"/>
    <col min="10" max="10" width="15.109375" customWidth="1"/>
    <col min="11" max="11" width="9.6640625" customWidth="1"/>
    <col min="12" max="12" width="20" customWidth="1"/>
    <col min="13" max="13" width="12.109375" customWidth="1"/>
    <col min="14" max="14" width="9.44140625" customWidth="1"/>
    <col min="15" max="15" width="6.77734375" customWidth="1"/>
    <col min="16" max="16" width="4.44140625" customWidth="1"/>
    <col min="17" max="17" width="15" customWidth="1"/>
    <col min="18" max="18" width="5.109375" customWidth="1"/>
    <col min="19" max="19" width="18.33203125" bestFit="1" customWidth="1"/>
  </cols>
  <sheetData>
    <row r="1" spans="1:21" ht="22.8" x14ac:dyDescent="0.4">
      <c r="B1" s="322" t="s">
        <v>121</v>
      </c>
      <c r="C1" s="78"/>
      <c r="D1" s="78"/>
      <c r="E1" s="78"/>
      <c r="F1" s="78"/>
      <c r="G1" s="78"/>
      <c r="H1" s="78"/>
      <c r="I1" s="78"/>
      <c r="J1" s="78"/>
      <c r="K1" s="78"/>
      <c r="L1" s="78"/>
      <c r="M1" s="78"/>
    </row>
    <row r="2" spans="1:21" ht="27" customHeight="1" x14ac:dyDescent="0.3">
      <c r="B2" s="976" t="s">
        <v>337</v>
      </c>
      <c r="C2" s="976"/>
      <c r="F2" s="91"/>
      <c r="G2" s="91"/>
      <c r="H2" s="91"/>
    </row>
    <row r="3" spans="1:21" ht="27" customHeight="1" x14ac:dyDescent="0.3">
      <c r="B3" s="233"/>
      <c r="C3" s="233"/>
    </row>
    <row r="4" spans="1:21" ht="120" customHeight="1" x14ac:dyDescent="0.3">
      <c r="B4" s="942" t="s">
        <v>371</v>
      </c>
      <c r="C4" s="942"/>
      <c r="D4" s="942"/>
      <c r="E4" s="942"/>
      <c r="F4" s="942"/>
      <c r="G4" s="942"/>
      <c r="H4" s="942"/>
      <c r="I4" s="942"/>
      <c r="J4" s="942"/>
      <c r="K4" s="942"/>
      <c r="L4" s="942"/>
    </row>
    <row r="5" spans="1:21" ht="27" customHeight="1" thickBot="1" x14ac:dyDescent="0.35">
      <c r="B5" s="233"/>
      <c r="C5" s="233"/>
    </row>
    <row r="6" spans="1:21" ht="27" customHeight="1" x14ac:dyDescent="0.4">
      <c r="B6" s="318" t="s">
        <v>372</v>
      </c>
      <c r="C6" s="282"/>
      <c r="D6" s="283"/>
      <c r="E6" s="283"/>
      <c r="F6" s="283"/>
      <c r="G6" s="283"/>
      <c r="H6" s="283"/>
      <c r="I6" s="283"/>
      <c r="J6" s="283"/>
      <c r="K6" s="283"/>
      <c r="L6" s="283"/>
      <c r="M6" s="284"/>
      <c r="N6" s="441"/>
      <c r="O6" s="283"/>
      <c r="P6" s="283"/>
      <c r="Q6" s="283"/>
      <c r="R6" s="283"/>
      <c r="S6" s="283"/>
      <c r="T6" s="283"/>
      <c r="U6" s="284"/>
    </row>
    <row r="7" spans="1:21" ht="27" customHeight="1" x14ac:dyDescent="0.4">
      <c r="B7" s="285"/>
      <c r="C7" s="286"/>
      <c r="D7" s="148"/>
      <c r="E7" s="148"/>
      <c r="F7" s="148"/>
      <c r="G7" s="148"/>
      <c r="H7" s="148"/>
      <c r="I7" s="148"/>
      <c r="J7" s="148"/>
      <c r="K7" s="148"/>
      <c r="L7" s="148"/>
      <c r="M7" s="287"/>
      <c r="N7" s="442"/>
      <c r="O7" s="148"/>
      <c r="P7" s="148"/>
      <c r="Q7" s="148"/>
      <c r="R7" s="148"/>
      <c r="S7" s="148"/>
      <c r="T7" s="148"/>
      <c r="U7" s="287"/>
    </row>
    <row r="8" spans="1:21" ht="21" x14ac:dyDescent="0.4">
      <c r="B8" s="319" t="s">
        <v>373</v>
      </c>
      <c r="C8" s="286"/>
      <c r="D8" s="148"/>
      <c r="E8" s="151"/>
      <c r="F8" s="151"/>
      <c r="G8" s="151"/>
      <c r="H8" s="151"/>
      <c r="I8" s="148"/>
      <c r="J8" s="148"/>
      <c r="K8" s="148"/>
      <c r="L8" s="148"/>
      <c r="M8" s="287"/>
      <c r="N8" s="319" t="s">
        <v>239</v>
      </c>
      <c r="O8" s="148"/>
      <c r="P8" s="148"/>
      <c r="Q8" s="148"/>
      <c r="R8" s="148"/>
      <c r="S8" s="148"/>
      <c r="T8" s="148"/>
      <c r="U8" s="300"/>
    </row>
    <row r="9" spans="1:21" ht="21" customHeight="1" thickBot="1" x14ac:dyDescent="0.35">
      <c r="B9" s="288"/>
      <c r="C9" s="289" t="s">
        <v>239</v>
      </c>
      <c r="D9" s="151"/>
      <c r="E9" s="151"/>
      <c r="F9" s="290">
        <f>H9*'Gårdens info'!G22</f>
        <v>17170</v>
      </c>
      <c r="G9" s="151" t="s">
        <v>14</v>
      </c>
      <c r="H9" s="362">
        <f>IF('Gårdens info'!G22&gt;0,(('Gårdens info'!G22*'Jordgubbe friland'!S10*'Jordgubbe friland'!T10)+('Gårdens info'!G22*'Jordgubbe friland'!S11*'Jordgubbe friland'!T11)+('Gårdens info'!G22*'Jordgubbe friland'!S12*'Jordgubbe friland'!T12)+('Gårdens info'!G22*'Jordgubbe friland'!S13*'Jordgubbe friland'!T13)+('Gårdens info'!G22*'Jordgubbe friland'!S14*'Jordgubbe friland'!T14)+('Gårdens info'!G22*S15*T15)+('Gårdens info'!G22*S16*T16)+('Gårdens info'!G22*S17*T17))/(('Gårdens info'!G22)),0)</f>
        <v>5.05</v>
      </c>
      <c r="I9" s="151" t="s">
        <v>6</v>
      </c>
      <c r="J9" s="290">
        <f>F9*'Gårdens info'!D22</f>
        <v>85850</v>
      </c>
      <c r="K9" s="151" t="s">
        <v>26</v>
      </c>
      <c r="L9" s="151"/>
      <c r="M9" s="287"/>
      <c r="N9" s="442"/>
      <c r="O9" s="943" t="s">
        <v>366</v>
      </c>
      <c r="P9" s="943"/>
      <c r="Q9" s="943"/>
      <c r="R9" s="291"/>
      <c r="S9" s="444" t="s">
        <v>339</v>
      </c>
      <c r="T9" s="967" t="s">
        <v>340</v>
      </c>
      <c r="U9" s="968"/>
    </row>
    <row r="10" spans="1:21" ht="15.6" thickBot="1" x14ac:dyDescent="0.3">
      <c r="B10" s="288"/>
      <c r="C10" s="151" t="s">
        <v>224</v>
      </c>
      <c r="D10" s="151"/>
      <c r="E10" s="151"/>
      <c r="F10" s="290">
        <f>IF('Gårdens info'!D22&gt;0,Stöd!J6/'Gårdens info'!D37*Stöd!L6+Stöd!J7/'Gårdens info'!D37*Stöd!L7+Stöd!J8/'Gårdens info'!D37*Stöd!L8+Stöd!J12/'Gårdens info'!D37*Stöd!L12+Stöd!J13/'Gårdens info'!D37*Stöd!L13+Stöd!J15/'Gårdens info'!D37*Stöd!L15+Stöd!J16/'Gårdens info'!D37*Stöd!L16+Stöd!J18/'Gårdens info'!D37*Stöd!L18+Stöd!J19/'Gårdens info'!D37*Stöd!L19+Stöd!J20/'Gårdens info'!D37*Stöd!L20+Stöd!J21/'Gårdens info'!D37*Stöd!L21,0)</f>
        <v>0</v>
      </c>
      <c r="G10" s="151" t="s">
        <v>14</v>
      </c>
      <c r="H10" s="362">
        <f>IF('Gårdens info'!G24&gt;0,F10/'Gårdens info'!G22,0)</f>
        <v>0</v>
      </c>
      <c r="I10" s="151" t="s">
        <v>6</v>
      </c>
      <c r="J10" s="290">
        <f>F10*'Gårdens info'!D22</f>
        <v>0</v>
      </c>
      <c r="K10" s="151" t="s">
        <v>26</v>
      </c>
      <c r="L10" s="151"/>
      <c r="M10" s="287"/>
      <c r="N10" s="442"/>
      <c r="O10" s="151">
        <v>1</v>
      </c>
      <c r="P10" s="151" t="s">
        <v>21</v>
      </c>
      <c r="Q10" s="151" t="s">
        <v>389</v>
      </c>
      <c r="R10" s="151"/>
      <c r="S10" s="452">
        <v>0</v>
      </c>
      <c r="T10" s="317">
        <v>4.5</v>
      </c>
      <c r="U10" s="300" t="s">
        <v>6</v>
      </c>
    </row>
    <row r="11" spans="1:21" s="8" customFormat="1" ht="21.6" thickBot="1" x14ac:dyDescent="0.45">
      <c r="A11" s="244"/>
      <c r="B11" s="932" t="s">
        <v>240</v>
      </c>
      <c r="C11" s="933"/>
      <c r="D11" s="933"/>
      <c r="E11" s="324"/>
      <c r="F11" s="328">
        <f>F9+F10</f>
        <v>17170</v>
      </c>
      <c r="G11" s="329" t="s">
        <v>14</v>
      </c>
      <c r="H11" s="330">
        <f>H9+H10</f>
        <v>5.05</v>
      </c>
      <c r="I11" s="329" t="s">
        <v>6</v>
      </c>
      <c r="J11" s="331">
        <f>J9+J10</f>
        <v>85850</v>
      </c>
      <c r="K11" s="329" t="s">
        <v>26</v>
      </c>
      <c r="L11" s="329"/>
      <c r="M11" s="321"/>
      <c r="N11" s="445"/>
      <c r="O11" s="151">
        <v>3</v>
      </c>
      <c r="P11" s="151" t="s">
        <v>21</v>
      </c>
      <c r="Q11" s="151" t="s">
        <v>390</v>
      </c>
      <c r="R11" s="151"/>
      <c r="S11" s="454">
        <v>0</v>
      </c>
      <c r="T11" s="455"/>
      <c r="U11" s="300" t="s">
        <v>6</v>
      </c>
    </row>
    <row r="12" spans="1:21" s="8" customFormat="1" ht="21.6" thickBot="1" x14ac:dyDescent="0.45">
      <c r="A12" s="244"/>
      <c r="B12" s="351"/>
      <c r="C12" s="332"/>
      <c r="D12" s="332"/>
      <c r="E12" s="324"/>
      <c r="F12" s="328"/>
      <c r="G12" s="329"/>
      <c r="H12" s="330"/>
      <c r="I12" s="329"/>
      <c r="J12" s="331"/>
      <c r="K12" s="329"/>
      <c r="L12" s="329"/>
      <c r="M12" s="321"/>
      <c r="N12" s="445"/>
      <c r="O12" s="151">
        <v>5</v>
      </c>
      <c r="P12" s="151" t="s">
        <v>21</v>
      </c>
      <c r="Q12" s="151" t="s">
        <v>390</v>
      </c>
      <c r="R12" s="151"/>
      <c r="S12" s="454">
        <v>0</v>
      </c>
      <c r="T12" s="455"/>
      <c r="U12" s="300" t="s">
        <v>6</v>
      </c>
    </row>
    <row r="13" spans="1:21" ht="22.05" customHeight="1" thickBot="1" x14ac:dyDescent="0.35">
      <c r="B13" s="292"/>
      <c r="C13" s="286"/>
      <c r="D13" s="148"/>
      <c r="E13" s="148"/>
      <c r="F13" s="148"/>
      <c r="G13" s="148"/>
      <c r="H13" s="148"/>
      <c r="I13" s="148"/>
      <c r="J13" s="293"/>
      <c r="K13" s="148"/>
      <c r="L13" s="148"/>
      <c r="M13" s="287"/>
      <c r="N13" s="442"/>
      <c r="O13" s="151">
        <v>0.5</v>
      </c>
      <c r="P13" s="151" t="s">
        <v>21</v>
      </c>
      <c r="Q13" s="151" t="s">
        <v>391</v>
      </c>
      <c r="R13" s="151"/>
      <c r="S13" s="454">
        <v>0</v>
      </c>
      <c r="T13" s="317">
        <v>5.2</v>
      </c>
      <c r="U13" s="300" t="s">
        <v>6</v>
      </c>
    </row>
    <row r="14" spans="1:21" ht="21.6" thickBot="1" x14ac:dyDescent="0.45">
      <c r="B14" s="319" t="s">
        <v>241</v>
      </c>
      <c r="C14" s="286"/>
      <c r="D14" s="148"/>
      <c r="E14" s="148"/>
      <c r="F14" s="148"/>
      <c r="G14" s="148"/>
      <c r="H14" s="148"/>
      <c r="I14" s="148"/>
      <c r="J14" s="293"/>
      <c r="K14" s="148"/>
      <c r="L14" s="148"/>
      <c r="M14" s="287"/>
      <c r="N14" s="442"/>
      <c r="O14" s="151">
        <v>0.25</v>
      </c>
      <c r="P14" s="151" t="s">
        <v>21</v>
      </c>
      <c r="Q14" s="151" t="s">
        <v>391</v>
      </c>
      <c r="R14" s="151"/>
      <c r="S14" s="454">
        <v>1</v>
      </c>
      <c r="T14" s="317">
        <v>5.05</v>
      </c>
      <c r="U14" s="300" t="s">
        <v>6</v>
      </c>
    </row>
    <row r="15" spans="1:21" s="77" customFormat="1" ht="16.95" customHeight="1" thickBot="1" x14ac:dyDescent="0.35">
      <c r="A15" s="240"/>
      <c r="B15" s="972" t="s">
        <v>383</v>
      </c>
      <c r="C15" s="973"/>
      <c r="D15" s="973"/>
      <c r="E15" s="153"/>
      <c r="F15" s="153"/>
      <c r="G15" s="153"/>
      <c r="H15" s="153"/>
      <c r="I15" s="153"/>
      <c r="J15" s="294"/>
      <c r="K15" s="153"/>
      <c r="L15" s="153"/>
      <c r="M15" s="295"/>
      <c r="N15" s="442"/>
      <c r="O15" s="812">
        <f>D221</f>
        <v>0</v>
      </c>
      <c r="P15" s="151" t="s">
        <v>21</v>
      </c>
      <c r="Q15" s="362" t="str">
        <f>C221</f>
        <v>förpackning X</v>
      </c>
      <c r="R15" s="151"/>
      <c r="S15" s="454">
        <v>0</v>
      </c>
      <c r="T15" s="317"/>
      <c r="U15" s="300" t="s">
        <v>6</v>
      </c>
    </row>
    <row r="16" spans="1:21" s="91" customFormat="1" ht="21" customHeight="1" thickBot="1" x14ac:dyDescent="0.3">
      <c r="A16" s="238"/>
      <c r="B16" s="296"/>
      <c r="C16" s="289" t="s">
        <v>385</v>
      </c>
      <c r="D16" s="297"/>
      <c r="E16" s="297"/>
      <c r="F16" s="298">
        <f>IF('Gårdens info'!D22&gt;0,J100/'Gårdens info'!I22,0)</f>
        <v>2083.3333333333335</v>
      </c>
      <c r="G16" s="151" t="s">
        <v>14</v>
      </c>
      <c r="H16" s="299">
        <f>IF('Gårdens info'!$G$22&gt;0,F16/'Gårdens info'!$G$22,0)</f>
        <v>0.61274509803921573</v>
      </c>
      <c r="I16" s="151" t="s">
        <v>6</v>
      </c>
      <c r="J16" s="298">
        <f>F16*'Gårdens info'!$D$22</f>
        <v>10416.666666666668</v>
      </c>
      <c r="K16" s="151" t="s">
        <v>384</v>
      </c>
      <c r="L16" s="297"/>
      <c r="M16" s="300"/>
      <c r="N16" s="442"/>
      <c r="O16" s="812">
        <f t="shared" ref="O16:O17" si="0">D222</f>
        <v>0</v>
      </c>
      <c r="P16" s="151" t="s">
        <v>21</v>
      </c>
      <c r="Q16" s="362" t="str">
        <f t="shared" ref="Q16:Q17" si="1">C222</f>
        <v>förpackning X</v>
      </c>
      <c r="R16" s="151"/>
      <c r="S16" s="454">
        <v>0</v>
      </c>
      <c r="T16" s="317"/>
      <c r="U16" s="300" t="s">
        <v>6</v>
      </c>
    </row>
    <row r="17" spans="1:30" s="91" customFormat="1" ht="18" thickBot="1" x14ac:dyDescent="0.35">
      <c r="A17" s="238"/>
      <c r="B17" s="296"/>
      <c r="C17" s="289" t="s">
        <v>244</v>
      </c>
      <c r="D17" s="297"/>
      <c r="E17" s="297"/>
      <c r="F17" s="298">
        <f>IF('Gårdens info'!D23&gt;0,J109/'Gårdens info'!I22,0)</f>
        <v>361.66666666666669</v>
      </c>
      <c r="G17" s="151" t="s">
        <v>14</v>
      </c>
      <c r="H17" s="299">
        <f>IF('Gårdens info'!$G$22&gt;0,F17/'Gårdens info'!$G$22,0)</f>
        <v>0.10637254901960785</v>
      </c>
      <c r="I17" s="151" t="s">
        <v>6</v>
      </c>
      <c r="J17" s="298">
        <f>F17*'Gårdens info'!$D$22</f>
        <v>1808.3333333333335</v>
      </c>
      <c r="K17" s="151" t="s">
        <v>384</v>
      </c>
      <c r="L17" s="297"/>
      <c r="M17" s="300"/>
      <c r="N17" s="446"/>
      <c r="O17" s="812">
        <f t="shared" si="0"/>
        <v>0</v>
      </c>
      <c r="P17" s="151" t="s">
        <v>21</v>
      </c>
      <c r="Q17" s="362" t="str">
        <f t="shared" si="1"/>
        <v>förpackning X</v>
      </c>
      <c r="R17" s="151"/>
      <c r="S17" s="453">
        <v>0</v>
      </c>
      <c r="T17" s="317"/>
      <c r="U17" s="300" t="s">
        <v>6</v>
      </c>
    </row>
    <row r="18" spans="1:30" s="91" customFormat="1" ht="17.399999999999999" x14ac:dyDescent="0.3">
      <c r="A18" s="238"/>
      <c r="B18" s="296"/>
      <c r="C18" s="289" t="s">
        <v>386</v>
      </c>
      <c r="D18" s="297"/>
      <c r="E18" s="297"/>
      <c r="F18" s="298">
        <f>IF('Gårdens info'!D22&gt;0,J124/'Gårdens info'!I22,0)</f>
        <v>6</v>
      </c>
      <c r="G18" s="151" t="s">
        <v>14</v>
      </c>
      <c r="H18" s="299">
        <f>IF('Gårdens info'!$G$22&gt;0,F18/'Gårdens info'!$G$22,0)</f>
        <v>1.7647058823529412E-3</v>
      </c>
      <c r="I18" s="151" t="s">
        <v>6</v>
      </c>
      <c r="J18" s="298">
        <f>F18*'Gårdens info'!$D$22</f>
        <v>30</v>
      </c>
      <c r="K18" s="151" t="s">
        <v>384</v>
      </c>
      <c r="L18" s="297"/>
      <c r="M18" s="300"/>
      <c r="N18" s="288"/>
      <c r="O18" s="946" t="s">
        <v>16</v>
      </c>
      <c r="P18" s="946"/>
      <c r="Q18" s="946"/>
      <c r="R18" s="153"/>
      <c r="S18" s="450">
        <f>SUM(S10:S17)</f>
        <v>1</v>
      </c>
      <c r="T18" s="153"/>
      <c r="U18" s="295"/>
    </row>
    <row r="19" spans="1:30" s="91" customFormat="1" ht="16.2" thickBot="1" x14ac:dyDescent="0.35">
      <c r="A19" s="238"/>
      <c r="B19" s="296"/>
      <c r="C19" s="289" t="s">
        <v>387</v>
      </c>
      <c r="D19" s="297"/>
      <c r="E19" s="297"/>
      <c r="F19" s="298">
        <f>IF('Gårdens info'!D22&gt;0,J132/'Gårdens info'!I22,0)</f>
        <v>24.333333333333332</v>
      </c>
      <c r="G19" s="151" t="s">
        <v>14</v>
      </c>
      <c r="H19" s="299">
        <f>IF('Gårdens info'!$G$22&gt;0,F19/'Gårdens info'!$G$22,0)</f>
        <v>7.1568627450980388E-3</v>
      </c>
      <c r="I19" s="151" t="s">
        <v>6</v>
      </c>
      <c r="J19" s="298">
        <f>F19*'Gårdens info'!$D$22</f>
        <v>121.66666666666666</v>
      </c>
      <c r="K19" s="151" t="s">
        <v>384</v>
      </c>
      <c r="L19" s="297"/>
      <c r="M19" s="300"/>
      <c r="N19" s="447"/>
      <c r="O19" s="451" t="str">
        <f>IF(S18=100%," ","HUOM! Osuus myyynneistä pitää summautua 100 prosenttiin")</f>
        <v xml:space="preserve"> </v>
      </c>
      <c r="P19" s="151"/>
      <c r="R19" s="151"/>
      <c r="S19" s="151"/>
      <c r="T19" s="151"/>
      <c r="U19" s="300"/>
    </row>
    <row r="20" spans="1:30" s="91" customFormat="1" ht="15.6" thickBot="1" x14ac:dyDescent="0.3">
      <c r="A20" s="238"/>
      <c r="B20" s="296"/>
      <c r="C20" s="289" t="s">
        <v>249</v>
      </c>
      <c r="D20" s="297"/>
      <c r="E20" s="297"/>
      <c r="F20" s="298">
        <f>IF('Gårdens info'!D22&gt;0,J142/'Gårdens info'!I22,0)</f>
        <v>158.33333333333334</v>
      </c>
      <c r="G20" s="151" t="s">
        <v>14</v>
      </c>
      <c r="H20" s="299">
        <f>IF('Gårdens info'!$G$22&gt;0,F20/'Gårdens info'!$G$22,0)</f>
        <v>4.6568627450980393E-2</v>
      </c>
      <c r="I20" s="151" t="s">
        <v>6</v>
      </c>
      <c r="J20" s="298">
        <f>F20*'Gårdens info'!$D$22</f>
        <v>791.66666666666674</v>
      </c>
      <c r="K20" s="151" t="s">
        <v>384</v>
      </c>
      <c r="L20" s="297"/>
      <c r="M20" s="300"/>
      <c r="O20" s="448"/>
      <c r="P20" s="448"/>
      <c r="Q20" s="448"/>
      <c r="R20" s="448"/>
      <c r="S20" s="448"/>
      <c r="T20" s="448"/>
      <c r="U20" s="449"/>
    </row>
    <row r="21" spans="1:30" s="91" customFormat="1" ht="15" x14ac:dyDescent="0.25">
      <c r="A21" s="238"/>
      <c r="B21" s="296"/>
      <c r="C21" s="289" t="s">
        <v>388</v>
      </c>
      <c r="D21" s="297"/>
      <c r="E21" s="297"/>
      <c r="F21" s="298">
        <f>IF('Gårdens info'!D22&gt;0,L172/'Gårdens info'!I22,0)</f>
        <v>1314.6666666666667</v>
      </c>
      <c r="G21" s="151" t="s">
        <v>14</v>
      </c>
      <c r="H21" s="299">
        <f>IF('Gårdens info'!$G$22&gt;0,F21/'Gårdens info'!$G$22,0)</f>
        <v>0.38666666666666671</v>
      </c>
      <c r="I21" s="151" t="s">
        <v>6</v>
      </c>
      <c r="J21" s="298">
        <f>F21*'Gårdens info'!$D$22</f>
        <v>6573.3333333333339</v>
      </c>
      <c r="K21" s="151" t="s">
        <v>384</v>
      </c>
      <c r="L21" s="297"/>
      <c r="M21" s="300"/>
    </row>
    <row r="22" spans="1:30" s="91" customFormat="1" ht="15.6" x14ac:dyDescent="0.3">
      <c r="A22" s="238"/>
      <c r="B22" s="296"/>
      <c r="C22" s="301" t="s">
        <v>196</v>
      </c>
      <c r="D22" s="302"/>
      <c r="E22" s="302"/>
      <c r="F22" s="303">
        <f>SUM(F16:F21)</f>
        <v>3948.3333333333339</v>
      </c>
      <c r="G22" s="304" t="s">
        <v>14</v>
      </c>
      <c r="H22" s="305">
        <f>SUM(H16:H21)</f>
        <v>1.1612745098039217</v>
      </c>
      <c r="I22" s="304" t="s">
        <v>6</v>
      </c>
      <c r="J22" s="303">
        <f>SUM(J16:J21)</f>
        <v>19741.666666666668</v>
      </c>
      <c r="K22" s="304" t="s">
        <v>384</v>
      </c>
      <c r="L22" s="302"/>
      <c r="M22" s="300"/>
    </row>
    <row r="23" spans="1:30" ht="17.399999999999999" x14ac:dyDescent="0.3">
      <c r="B23" s="292"/>
      <c r="C23" s="306"/>
      <c r="D23" s="307"/>
      <c r="E23" s="307"/>
      <c r="F23" s="308"/>
      <c r="G23" s="151"/>
      <c r="H23" s="307"/>
      <c r="I23" s="307"/>
      <c r="J23" s="307"/>
      <c r="K23" s="307"/>
      <c r="L23" s="307"/>
      <c r="M23" s="287"/>
      <c r="N23" s="91"/>
      <c r="O23" s="91"/>
      <c r="P23" s="91"/>
      <c r="Q23" s="91"/>
      <c r="R23" s="91"/>
      <c r="S23" s="91"/>
      <c r="T23" s="91"/>
      <c r="U23" s="91"/>
      <c r="AA23" s="868"/>
      <c r="AB23" s="868"/>
      <c r="AC23" s="868"/>
      <c r="AD23" s="868"/>
    </row>
    <row r="24" spans="1:30" s="77" customFormat="1" ht="17.399999999999999" x14ac:dyDescent="0.3">
      <c r="A24" s="240"/>
      <c r="B24" s="870" t="s">
        <v>270</v>
      </c>
      <c r="C24" s="306"/>
      <c r="D24" s="310"/>
      <c r="E24" s="310"/>
      <c r="F24" s="311"/>
      <c r="G24" s="153"/>
      <c r="H24" s="310"/>
      <c r="I24" s="310"/>
      <c r="J24" s="310"/>
      <c r="K24" s="310"/>
      <c r="L24" s="310"/>
      <c r="M24" s="295"/>
      <c r="N24" s="91"/>
      <c r="O24" s="91"/>
      <c r="P24" s="91"/>
      <c r="Q24" s="91"/>
      <c r="R24" s="91"/>
      <c r="S24" s="91"/>
      <c r="T24" s="91"/>
      <c r="U24" s="91"/>
      <c r="AA24" s="878"/>
      <c r="AB24" s="878"/>
      <c r="AC24" s="878"/>
      <c r="AD24" s="878"/>
    </row>
    <row r="25" spans="1:30" s="91" customFormat="1" ht="17.399999999999999" x14ac:dyDescent="0.3">
      <c r="A25" s="238"/>
      <c r="B25" s="296"/>
      <c r="C25" s="289" t="s">
        <v>244</v>
      </c>
      <c r="D25" s="297"/>
      <c r="E25" s="297"/>
      <c r="F25" s="298">
        <f>IF('Gårdens info'!D22&gt;0,J184,0)</f>
        <v>600</v>
      </c>
      <c r="G25" s="151" t="s">
        <v>14</v>
      </c>
      <c r="H25" s="299">
        <f>IF('Gårdens info'!$G$22&gt;0,F25/'Gårdens info'!$G$22,0)</f>
        <v>0.17647058823529413</v>
      </c>
      <c r="I25" s="151" t="s">
        <v>6</v>
      </c>
      <c r="J25" s="298">
        <f>F25*'Gårdens info'!$D$22</f>
        <v>3000</v>
      </c>
      <c r="K25" s="151" t="s">
        <v>384</v>
      </c>
      <c r="L25" s="297"/>
      <c r="M25" s="300"/>
      <c r="N25"/>
      <c r="Q25" s="77"/>
      <c r="AA25" s="858"/>
      <c r="AB25" s="858" t="str">
        <f t="shared" ref="AB25:AB32" si="2">C25</f>
        <v>Gödsel och kalk</v>
      </c>
      <c r="AC25" s="885">
        <f>F25</f>
        <v>600</v>
      </c>
      <c r="AD25" s="858"/>
    </row>
    <row r="26" spans="1:30" s="91" customFormat="1" ht="17.399999999999999" x14ac:dyDescent="0.3">
      <c r="A26" s="238"/>
      <c r="B26" s="296"/>
      <c r="C26" s="289" t="s">
        <v>245</v>
      </c>
      <c r="D26" s="297"/>
      <c r="E26" s="297"/>
      <c r="F26" s="298">
        <f>IF('Gårdens info'!D22&gt;0,J203,0)</f>
        <v>1229.3</v>
      </c>
      <c r="G26" s="151" t="s">
        <v>14</v>
      </c>
      <c r="H26" s="299">
        <f>IF('Gårdens info'!$G$22&gt;0,F26/'Gårdens info'!$G$22,0)</f>
        <v>0.36155882352941177</v>
      </c>
      <c r="I26" s="151" t="s">
        <v>6</v>
      </c>
      <c r="J26" s="298">
        <f>F26*'Gårdens info'!$D$22</f>
        <v>6146.5</v>
      </c>
      <c r="K26" s="151" t="s">
        <v>384</v>
      </c>
      <c r="L26" s="297"/>
      <c r="M26" s="300"/>
      <c r="N26" s="77"/>
      <c r="O26"/>
      <c r="P26"/>
      <c r="S26"/>
      <c r="T26"/>
      <c r="U26"/>
      <c r="AA26" s="858"/>
      <c r="AB26" s="858" t="str">
        <f t="shared" si="2"/>
        <v>IPM Växtskydd</v>
      </c>
      <c r="AC26" s="885">
        <f t="shared" ref="AC26:AC32" si="3">F26</f>
        <v>1229.3</v>
      </c>
      <c r="AD26" s="858"/>
    </row>
    <row r="27" spans="1:30" s="91" customFormat="1" ht="17.399999999999999" x14ac:dyDescent="0.3">
      <c r="A27" s="238"/>
      <c r="B27" s="296"/>
      <c r="C27" s="289" t="s">
        <v>392</v>
      </c>
      <c r="D27" s="297"/>
      <c r="E27" s="297"/>
      <c r="F27" s="298">
        <f>J211</f>
        <v>800</v>
      </c>
      <c r="G27" s="151" t="s">
        <v>14</v>
      </c>
      <c r="H27" s="299">
        <f>IF('Gårdens info'!$G$22&gt;0,F27/'Gårdens info'!$G$22,0)</f>
        <v>0.23529411764705882</v>
      </c>
      <c r="I27" s="151" t="s">
        <v>6</v>
      </c>
      <c r="J27" s="298">
        <f>F27*'Gårdens info'!$D$22</f>
        <v>4000</v>
      </c>
      <c r="K27" s="151" t="s">
        <v>384</v>
      </c>
      <c r="L27" s="297"/>
      <c r="M27" s="300"/>
      <c r="N27" s="77"/>
      <c r="O27" s="77"/>
      <c r="P27" s="77"/>
      <c r="S27" s="77"/>
      <c r="T27" s="77"/>
      <c r="U27" s="77"/>
      <c r="AA27" s="858"/>
      <c r="AB27" s="858" t="str">
        <f t="shared" si="2"/>
        <v>Pollinering</v>
      </c>
      <c r="AC27" s="885">
        <f t="shared" si="3"/>
        <v>800</v>
      </c>
      <c r="AD27" s="858"/>
    </row>
    <row r="28" spans="1:30" s="91" customFormat="1" ht="17.399999999999999" x14ac:dyDescent="0.3">
      <c r="A28" s="238"/>
      <c r="B28" s="296"/>
      <c r="C28" s="289" t="s">
        <v>393</v>
      </c>
      <c r="D28" s="297"/>
      <c r="E28" s="297"/>
      <c r="F28" s="298">
        <f>IF('Gårdens info'!D22&gt;0,J224,0)</f>
        <v>544</v>
      </c>
      <c r="G28" s="151" t="s">
        <v>14</v>
      </c>
      <c r="H28" s="299">
        <f>IF('Gårdens info'!$G$22&gt;0,F28/'Gårdens info'!$G$22,0)</f>
        <v>0.16</v>
      </c>
      <c r="I28" s="151" t="s">
        <v>6</v>
      </c>
      <c r="J28" s="298">
        <f>F28*'Gårdens info'!$D$22</f>
        <v>2720</v>
      </c>
      <c r="K28" s="151" t="s">
        <v>384</v>
      </c>
      <c r="L28" s="297"/>
      <c r="M28" s="300"/>
      <c r="O28" s="77"/>
      <c r="P28" s="77"/>
      <c r="S28" s="77"/>
      <c r="T28" s="77"/>
      <c r="U28" s="77"/>
      <c r="AA28" s="858"/>
      <c r="AB28" s="858" t="str">
        <f t="shared" si="2"/>
        <v>Förpackningsmaterial</v>
      </c>
      <c r="AC28" s="885">
        <f t="shared" si="3"/>
        <v>544</v>
      </c>
      <c r="AD28" s="858"/>
    </row>
    <row r="29" spans="1:30" s="91" customFormat="1" ht="15" x14ac:dyDescent="0.25">
      <c r="A29" s="238"/>
      <c r="B29" s="296"/>
      <c r="C29" s="289" t="s">
        <v>394</v>
      </c>
      <c r="D29" s="297"/>
      <c r="E29" s="297"/>
      <c r="F29" s="298">
        <f>IF('Gårdens info'!D22&gt;0,J232,0)</f>
        <v>2550</v>
      </c>
      <c r="G29" s="151" t="s">
        <v>14</v>
      </c>
      <c r="H29" s="299">
        <f>IF('Gårdens info'!$G$22&gt;0,F29/'Gårdens info'!$G$22,0)</f>
        <v>0.75</v>
      </c>
      <c r="I29" s="151" t="s">
        <v>6</v>
      </c>
      <c r="J29" s="298">
        <f>F29*'Gårdens info'!$D$22</f>
        <v>12750</v>
      </c>
      <c r="K29" s="151" t="s">
        <v>384</v>
      </c>
      <c r="L29" s="297"/>
      <c r="M29" s="300"/>
      <c r="AA29" s="858"/>
      <c r="AB29" s="858" t="str">
        <f t="shared" si="2"/>
        <v>Frakt av produkter</v>
      </c>
      <c r="AC29" s="885">
        <f t="shared" si="3"/>
        <v>2550</v>
      </c>
      <c r="AD29" s="858"/>
    </row>
    <row r="30" spans="1:30" s="91" customFormat="1" ht="15" x14ac:dyDescent="0.25">
      <c r="A30" s="238"/>
      <c r="B30" s="296"/>
      <c r="C30" s="289" t="s">
        <v>387</v>
      </c>
      <c r="D30" s="297"/>
      <c r="E30" s="297"/>
      <c r="F30" s="298">
        <f>IF('Gårdens info'!D22&gt;0,J240,0)</f>
        <v>0</v>
      </c>
      <c r="G30" s="151" t="s">
        <v>14</v>
      </c>
      <c r="H30" s="299">
        <f>IF('Gårdens info'!$G$22&gt;0,F30/'Gårdens info'!$G$22,0)</f>
        <v>0</v>
      </c>
      <c r="I30" s="151" t="s">
        <v>6</v>
      </c>
      <c r="J30" s="298">
        <f>F30*'Gårdens info'!$D$22</f>
        <v>0</v>
      </c>
      <c r="K30" s="151" t="s">
        <v>384</v>
      </c>
      <c r="L30" s="297"/>
      <c r="M30" s="300"/>
      <c r="AA30" s="858"/>
      <c r="AB30" s="858" t="str">
        <f t="shared" si="2"/>
        <v>Maskinhyra och entreprenad</v>
      </c>
      <c r="AC30" s="885">
        <f t="shared" si="3"/>
        <v>0</v>
      </c>
      <c r="AD30" s="858"/>
    </row>
    <row r="31" spans="1:30" s="91" customFormat="1" ht="15" x14ac:dyDescent="0.25">
      <c r="A31" s="238"/>
      <c r="B31" s="296"/>
      <c r="C31" s="289" t="s">
        <v>249</v>
      </c>
      <c r="D31" s="297"/>
      <c r="E31" s="297"/>
      <c r="F31" s="298">
        <f>IF('Gårdens info'!D22&gt;0,J252,0)</f>
        <v>1392.3679999999999</v>
      </c>
      <c r="G31" s="151" t="s">
        <v>14</v>
      </c>
      <c r="H31" s="299">
        <f>IF('Gårdens info'!$G$22&gt;0,F31/'Gårdens info'!$G$22,0)</f>
        <v>0.40952</v>
      </c>
      <c r="I31" s="151" t="s">
        <v>6</v>
      </c>
      <c r="J31" s="298">
        <f>F31*'Gårdens info'!$D$22</f>
        <v>6961.84</v>
      </c>
      <c r="K31" s="151" t="s">
        <v>384</v>
      </c>
      <c r="L31" s="297"/>
      <c r="M31" s="300"/>
      <c r="AA31" s="858"/>
      <c r="AB31" s="858" t="str">
        <f t="shared" si="2"/>
        <v>Energikostnader</v>
      </c>
      <c r="AC31" s="885">
        <f t="shared" si="3"/>
        <v>1392.3679999999999</v>
      </c>
      <c r="AD31" s="858"/>
    </row>
    <row r="32" spans="1:30" s="91" customFormat="1" ht="15" x14ac:dyDescent="0.25">
      <c r="A32" s="238"/>
      <c r="B32" s="296"/>
      <c r="C32" s="289" t="s">
        <v>388</v>
      </c>
      <c r="D32" s="297"/>
      <c r="E32" s="297"/>
      <c r="F32" s="298">
        <f>IF('Gårdens info'!D22&gt;0,L278,0)</f>
        <v>19205</v>
      </c>
      <c r="G32" s="151" t="s">
        <v>14</v>
      </c>
      <c r="H32" s="299">
        <f>IF('Gårdens info'!$G$22&gt;0,F32/'Gårdens info'!$G$22,0)</f>
        <v>5.6485294117647058</v>
      </c>
      <c r="I32" s="151" t="s">
        <v>6</v>
      </c>
      <c r="J32" s="298">
        <f>F32*'Gårdens info'!$D$22</f>
        <v>96025</v>
      </c>
      <c r="K32" s="151" t="s">
        <v>384</v>
      </c>
      <c r="L32" s="297"/>
      <c r="M32" s="300"/>
      <c r="AA32" s="858"/>
      <c r="AB32" s="858" t="str">
        <f t="shared" si="2"/>
        <v>Anställd personal</v>
      </c>
      <c r="AC32" s="885">
        <f t="shared" si="3"/>
        <v>19205</v>
      </c>
      <c r="AD32" s="858"/>
    </row>
    <row r="33" spans="1:30" s="236" customFormat="1" ht="15.6" x14ac:dyDescent="0.3">
      <c r="A33" s="263"/>
      <c r="B33" s="312"/>
      <c r="C33" s="301" t="s">
        <v>196</v>
      </c>
      <c r="D33" s="302"/>
      <c r="E33" s="302"/>
      <c r="F33" s="303">
        <f>SUM(F25:F32)</f>
        <v>26320.667999999998</v>
      </c>
      <c r="G33" s="304" t="s">
        <v>14</v>
      </c>
      <c r="H33" s="305">
        <f>SUM(H25:H32)</f>
        <v>7.7413729411764702</v>
      </c>
      <c r="I33" s="304" t="s">
        <v>6</v>
      </c>
      <c r="J33" s="303">
        <f>SUM(J25:J32)</f>
        <v>131603.34</v>
      </c>
      <c r="K33" s="304" t="s">
        <v>384</v>
      </c>
      <c r="L33" s="302"/>
      <c r="M33" s="313"/>
      <c r="N33" s="91"/>
      <c r="O33" s="91"/>
      <c r="P33" s="91"/>
      <c r="Q33" s="91"/>
      <c r="R33" s="91"/>
      <c r="S33" s="91"/>
      <c r="T33" s="91"/>
      <c r="U33" s="91"/>
      <c r="AA33" s="879"/>
      <c r="AB33" s="860" t="s">
        <v>572</v>
      </c>
      <c r="AC33" s="860">
        <f>F42</f>
        <v>414.81481481481489</v>
      </c>
      <c r="AD33" s="879"/>
    </row>
    <row r="34" spans="1:30" ht="17.399999999999999" x14ac:dyDescent="0.3">
      <c r="B34" s="292"/>
      <c r="C34" s="306"/>
      <c r="D34" s="307"/>
      <c r="E34" s="307"/>
      <c r="F34" s="308"/>
      <c r="G34" s="151"/>
      <c r="H34" s="307"/>
      <c r="I34" s="307"/>
      <c r="J34" s="307"/>
      <c r="K34" s="307"/>
      <c r="L34" s="307"/>
      <c r="M34" s="287"/>
      <c r="N34" s="91"/>
      <c r="O34" s="91"/>
      <c r="P34" s="91"/>
      <c r="Q34" s="236"/>
      <c r="R34" s="236"/>
      <c r="S34" s="91"/>
      <c r="T34" s="91"/>
      <c r="U34" s="91"/>
      <c r="AA34" s="868"/>
      <c r="AB34" s="858" t="s">
        <v>728</v>
      </c>
      <c r="AC34" s="860">
        <f>F43</f>
        <v>222.22222222222223</v>
      </c>
      <c r="AD34" s="868"/>
    </row>
    <row r="35" spans="1:30" ht="17.399999999999999" x14ac:dyDescent="0.3">
      <c r="B35" s="314" t="s">
        <v>395</v>
      </c>
      <c r="C35" s="306"/>
      <c r="D35" s="307"/>
      <c r="E35" s="307"/>
      <c r="F35" s="307"/>
      <c r="G35" s="307"/>
      <c r="H35" s="307"/>
      <c r="I35" s="307"/>
      <c r="J35" s="307"/>
      <c r="K35" s="307"/>
      <c r="L35" s="307"/>
      <c r="M35" s="287"/>
      <c r="N35" s="236"/>
      <c r="O35" s="91"/>
      <c r="P35" s="91"/>
      <c r="S35" s="91"/>
      <c r="T35" s="91"/>
      <c r="U35" s="91"/>
      <c r="AA35" s="868"/>
      <c r="AB35" s="858" t="s">
        <v>576</v>
      </c>
      <c r="AC35" s="861">
        <f>F52</f>
        <v>752.8888888888888</v>
      </c>
      <c r="AD35" s="868"/>
    </row>
    <row r="36" spans="1:30" ht="17.399999999999999" x14ac:dyDescent="0.3">
      <c r="B36" s="292"/>
      <c r="C36" s="289" t="s">
        <v>245</v>
      </c>
      <c r="D36" s="297"/>
      <c r="E36" s="297"/>
      <c r="F36" s="298">
        <f>IF('Gårdens info'!D22&gt;0,J300/'Gårdens info'!I22,0)</f>
        <v>10.5</v>
      </c>
      <c r="G36" s="151" t="s">
        <v>14</v>
      </c>
      <c r="H36" s="299">
        <f>IF('Gårdens info'!$G$22&gt;0,F36/'Gårdens info'!$G$22,0)</f>
        <v>3.0882352941176468E-3</v>
      </c>
      <c r="I36" s="151" t="s">
        <v>6</v>
      </c>
      <c r="J36" s="298">
        <f>F36*'Gårdens info'!$D$22</f>
        <v>52.5</v>
      </c>
      <c r="K36" s="151" t="s">
        <v>384</v>
      </c>
      <c r="L36" s="307"/>
      <c r="M36" s="287"/>
      <c r="O36" s="236"/>
      <c r="P36" s="236"/>
      <c r="S36" s="236"/>
      <c r="T36" s="236"/>
      <c r="U36" s="236"/>
      <c r="AA36" s="868"/>
      <c r="AB36" s="858" t="s">
        <v>577</v>
      </c>
      <c r="AC36" s="862">
        <f>F59</f>
        <v>397.72810123456787</v>
      </c>
      <c r="AD36" s="868"/>
    </row>
    <row r="37" spans="1:30" s="91" customFormat="1" ht="15" x14ac:dyDescent="0.25">
      <c r="A37" s="238"/>
      <c r="B37" s="296"/>
      <c r="C37" s="289" t="s">
        <v>387</v>
      </c>
      <c r="D37" s="297"/>
      <c r="E37" s="297"/>
      <c r="F37" s="298">
        <f>IF('Gårdens info'!D22&gt;0,J308/'Gårdens info'!I22,0)</f>
        <v>24.333333333333332</v>
      </c>
      <c r="G37" s="151" t="s">
        <v>14</v>
      </c>
      <c r="H37" s="299">
        <f>IF('Gårdens info'!$G$22&gt;0,F37/'Gårdens info'!$G$22,0)</f>
        <v>7.1568627450980388E-3</v>
      </c>
      <c r="I37" s="151" t="s">
        <v>6</v>
      </c>
      <c r="J37" s="298">
        <f>F37*'Gårdens info'!$D$22</f>
        <v>121.66666666666666</v>
      </c>
      <c r="K37" s="151" t="s">
        <v>384</v>
      </c>
      <c r="L37" s="297"/>
      <c r="M37" s="300"/>
      <c r="N37"/>
      <c r="O37"/>
      <c r="P37"/>
      <c r="Q37"/>
      <c r="R37"/>
      <c r="S37"/>
      <c r="T37"/>
      <c r="U37"/>
      <c r="AA37" s="858"/>
      <c r="AB37" s="858" t="s">
        <v>731</v>
      </c>
      <c r="AC37" s="862">
        <f>F66</f>
        <v>296.24738095238092</v>
      </c>
      <c r="AD37" s="858"/>
    </row>
    <row r="38" spans="1:30" s="91" customFormat="1" ht="15" x14ac:dyDescent="0.25">
      <c r="A38" s="238"/>
      <c r="B38" s="296"/>
      <c r="C38" s="289" t="s">
        <v>249</v>
      </c>
      <c r="D38" s="297"/>
      <c r="E38" s="297"/>
      <c r="F38" s="298">
        <f>IF('Gårdens info'!D22&gt;0,J318/'Gårdens info'!I22,0)</f>
        <v>178.76</v>
      </c>
      <c r="G38" s="151" t="s">
        <v>14</v>
      </c>
      <c r="H38" s="299">
        <f>IF('Gårdens info'!$G$22&gt;0,F38/'Gårdens info'!$G$22,0)</f>
        <v>5.2576470588235294E-2</v>
      </c>
      <c r="I38" s="151" t="s">
        <v>6</v>
      </c>
      <c r="J38" s="298">
        <f>F38*'Gårdens info'!$D$22</f>
        <v>893.8</v>
      </c>
      <c r="K38" s="151" t="s">
        <v>384</v>
      </c>
      <c r="L38" s="297"/>
      <c r="M38" s="300"/>
      <c r="N38"/>
      <c r="O38"/>
      <c r="P38"/>
      <c r="S38"/>
      <c r="T38"/>
      <c r="U38"/>
      <c r="AA38" s="858"/>
      <c r="AB38" s="858" t="s">
        <v>162</v>
      </c>
      <c r="AC38" s="862">
        <f>F72</f>
        <v>22.222222222222221</v>
      </c>
      <c r="AD38" s="858"/>
    </row>
    <row r="39" spans="1:30" s="91" customFormat="1" ht="15" x14ac:dyDescent="0.25">
      <c r="A39" s="238"/>
      <c r="B39" s="296"/>
      <c r="C39" s="289" t="s">
        <v>388</v>
      </c>
      <c r="D39" s="297"/>
      <c r="E39" s="297"/>
      <c r="F39" s="298">
        <f>IF('Gårdens info'!D22&gt;0,L334/'Gårdens info'!I22,0)</f>
        <v>483.33333333333331</v>
      </c>
      <c r="G39" s="151" t="s">
        <v>14</v>
      </c>
      <c r="H39" s="299">
        <f>IF('Gårdens info'!$G$22&gt;0,F39/'Gårdens info'!$G$22,0)</f>
        <v>0.14215686274509803</v>
      </c>
      <c r="I39" s="151" t="s">
        <v>6</v>
      </c>
      <c r="J39" s="298">
        <f>F39*'Gårdens info'!$D$22</f>
        <v>2416.6666666666665</v>
      </c>
      <c r="K39" s="151" t="s">
        <v>384</v>
      </c>
      <c r="L39" s="297"/>
      <c r="M39" s="300"/>
      <c r="O39"/>
      <c r="P39"/>
      <c r="S39"/>
      <c r="T39"/>
      <c r="U39"/>
      <c r="AA39" s="858"/>
      <c r="AB39" s="858" t="s">
        <v>727</v>
      </c>
      <c r="AC39" s="860">
        <f>F84</f>
        <v>3361.583333333333</v>
      </c>
      <c r="AD39" s="858"/>
    </row>
    <row r="40" spans="1:30" s="8" customFormat="1" ht="15.6" x14ac:dyDescent="0.3">
      <c r="A40" s="244"/>
      <c r="B40" s="349"/>
      <c r="C40" s="324" t="s">
        <v>196</v>
      </c>
      <c r="D40" s="324"/>
      <c r="E40" s="324"/>
      <c r="F40" s="325">
        <f>SUM(F36:F39)</f>
        <v>696.92666666666662</v>
      </c>
      <c r="G40" s="304" t="s">
        <v>14</v>
      </c>
      <c r="H40" s="326">
        <f>SUM(H36:H39)</f>
        <v>0.20497843137254901</v>
      </c>
      <c r="I40" s="304" t="s">
        <v>6</v>
      </c>
      <c r="J40" s="320">
        <f>SUM(J36:J39)</f>
        <v>3484.6333333333332</v>
      </c>
      <c r="K40" s="304" t="s">
        <v>384</v>
      </c>
      <c r="L40" s="327"/>
      <c r="M40" s="321"/>
      <c r="N40" s="91"/>
      <c r="O40" s="91"/>
      <c r="P40" s="91"/>
      <c r="Q40" s="91"/>
      <c r="R40" s="91"/>
      <c r="S40" s="91"/>
      <c r="T40" s="91"/>
      <c r="U40" s="91"/>
      <c r="AA40" s="880"/>
      <c r="AB40" s="880"/>
      <c r="AC40" s="880"/>
      <c r="AD40" s="880"/>
    </row>
    <row r="41" spans="1:30" s="8" customFormat="1" ht="15.6" x14ac:dyDescent="0.3">
      <c r="A41" s="244"/>
      <c r="B41" s="349"/>
      <c r="C41" s="324"/>
      <c r="D41" s="324"/>
      <c r="E41" s="324"/>
      <c r="F41" s="325"/>
      <c r="G41" s="304"/>
      <c r="H41" s="326"/>
      <c r="I41" s="304"/>
      <c r="J41" s="320"/>
      <c r="K41" s="304"/>
      <c r="L41" s="327"/>
      <c r="M41" s="321"/>
      <c r="N41" s="91"/>
      <c r="O41" s="91"/>
      <c r="P41" s="91"/>
      <c r="Q41" s="91"/>
      <c r="R41" s="91"/>
      <c r="S41" s="91"/>
      <c r="T41" s="91"/>
      <c r="U41" s="91"/>
      <c r="AA41" s="857"/>
      <c r="AB41" s="857"/>
      <c r="AC41" s="857"/>
    </row>
    <row r="42" spans="1:30" s="8" customFormat="1" ht="17.399999999999999" x14ac:dyDescent="0.3">
      <c r="A42" s="244"/>
      <c r="B42" s="947" t="s">
        <v>396</v>
      </c>
      <c r="C42" s="948"/>
      <c r="D42" s="948"/>
      <c r="E42" s="948"/>
      <c r="F42" s="325">
        <f>IF('Gårdens info'!D22&gt;0,J42/'Gårdens info'!D22,0)</f>
        <v>414.81481481481489</v>
      </c>
      <c r="G42" s="304" t="s">
        <v>14</v>
      </c>
      <c r="H42" s="326">
        <f>IF('Gårdens info'!G22&gt;0,F42/'Gårdens info'!G22,0)</f>
        <v>0.12200435729847497</v>
      </c>
      <c r="I42" s="304" t="s">
        <v>6</v>
      </c>
      <c r="J42" s="320">
        <f>'Gårdens info'!G147/'Gårdens info'!D37*'Gårdens info'!D22</f>
        <v>2074.0740740740744</v>
      </c>
      <c r="K42" s="304" t="s">
        <v>384</v>
      </c>
      <c r="L42" s="327"/>
      <c r="M42" s="321"/>
      <c r="O42" s="91"/>
      <c r="P42" s="91"/>
      <c r="Q42" s="91"/>
      <c r="R42" s="91"/>
      <c r="S42" s="91"/>
      <c r="T42" s="91"/>
      <c r="U42" s="91"/>
      <c r="AA42" s="857"/>
      <c r="AB42" s="857"/>
      <c r="AC42" s="857"/>
    </row>
    <row r="43" spans="1:30" s="8" customFormat="1" ht="17.399999999999999" x14ac:dyDescent="0.3">
      <c r="A43" s="244"/>
      <c r="B43" s="949" t="s">
        <v>397</v>
      </c>
      <c r="C43" s="950"/>
      <c r="D43" s="950"/>
      <c r="E43" s="950"/>
      <c r="F43" s="325">
        <f>'Gårdens info'!$G$42*'Gårdens info'!$D$42/'Gårdens info'!$D$37*'Gårdens info'!D22</f>
        <v>222.22222222222223</v>
      </c>
      <c r="G43" s="304" t="s">
        <v>14</v>
      </c>
      <c r="H43" s="326">
        <f>IF('Gårdens info'!G22&gt;0,F43/'Gårdens info'!G23,0)</f>
        <v>2.777777777777778E-2</v>
      </c>
      <c r="I43" s="304" t="s">
        <v>6</v>
      </c>
      <c r="J43" s="320">
        <f>F43*'Gårdens info'!D22</f>
        <v>1111.1111111111111</v>
      </c>
      <c r="K43" s="304" t="s">
        <v>384</v>
      </c>
      <c r="L43" s="327"/>
      <c r="M43" s="321"/>
      <c r="AA43" s="857"/>
      <c r="AB43" s="857"/>
      <c r="AC43" s="857"/>
    </row>
    <row r="44" spans="1:30" s="8" customFormat="1" ht="21" x14ac:dyDescent="0.4">
      <c r="A44" s="244"/>
      <c r="B44" s="932" t="s">
        <v>226</v>
      </c>
      <c r="C44" s="933"/>
      <c r="D44" s="933"/>
      <c r="E44" s="324"/>
      <c r="F44" s="328">
        <f>F22+F33+F40+F42+F43</f>
        <v>31602.965037037036</v>
      </c>
      <c r="G44" s="329" t="s">
        <v>14</v>
      </c>
      <c r="H44" s="330">
        <f>H22+H33+H40+H42+H43</f>
        <v>9.2574080174291957</v>
      </c>
      <c r="I44" s="329" t="s">
        <v>6</v>
      </c>
      <c r="J44" s="331">
        <f>J22+J33+J40+J42+J43</f>
        <v>158014.82518518518</v>
      </c>
      <c r="K44" s="329" t="s">
        <v>384</v>
      </c>
      <c r="L44" s="329"/>
      <c r="M44" s="321"/>
      <c r="AA44" s="857"/>
      <c r="AB44" s="857"/>
      <c r="AC44" s="857"/>
    </row>
    <row r="45" spans="1:30" s="8" customFormat="1" ht="43.05" customHeight="1" x14ac:dyDescent="0.4">
      <c r="A45" s="244"/>
      <c r="B45" s="351"/>
      <c r="C45" s="332"/>
      <c r="D45" s="332"/>
      <c r="E45" s="324"/>
      <c r="F45" s="328"/>
      <c r="G45" s="329"/>
      <c r="H45" s="330"/>
      <c r="I45" s="329"/>
      <c r="J45" s="331"/>
      <c r="K45" s="329"/>
      <c r="L45" s="329"/>
      <c r="M45" s="321"/>
      <c r="AA45" s="857"/>
      <c r="AB45" s="857"/>
      <c r="AC45" s="857"/>
    </row>
    <row r="46" spans="1:30" ht="21" x14ac:dyDescent="0.4">
      <c r="B46" s="319" t="s">
        <v>398</v>
      </c>
      <c r="C46" s="286"/>
      <c r="D46" s="148"/>
      <c r="E46" s="148"/>
      <c r="F46" s="148"/>
      <c r="G46" s="148"/>
      <c r="H46" s="148"/>
      <c r="I46" s="148"/>
      <c r="J46" s="293"/>
      <c r="K46" s="148"/>
      <c r="L46" s="148"/>
      <c r="M46" s="287"/>
      <c r="N46" s="8"/>
      <c r="O46" s="8"/>
      <c r="P46" s="8"/>
      <c r="Q46" s="8"/>
      <c r="R46" s="8"/>
      <c r="S46" s="8"/>
      <c r="T46" s="8"/>
      <c r="U46" s="8"/>
      <c r="AA46" s="25"/>
      <c r="AB46" s="25"/>
      <c r="AC46" s="25"/>
    </row>
    <row r="47" spans="1:30" s="8" customFormat="1" ht="21" x14ac:dyDescent="0.4">
      <c r="A47" s="244"/>
      <c r="B47" s="947" t="s">
        <v>149</v>
      </c>
      <c r="C47" s="948"/>
      <c r="D47" s="332"/>
      <c r="E47" s="324"/>
      <c r="F47" s="328"/>
      <c r="G47" s="329"/>
      <c r="H47" s="330"/>
      <c r="I47" s="329"/>
      <c r="J47" s="331"/>
      <c r="K47" s="329"/>
      <c r="L47" s="329"/>
      <c r="M47" s="321"/>
    </row>
    <row r="48" spans="1:30" s="8" customFormat="1" ht="21" x14ac:dyDescent="0.4">
      <c r="A48" s="244"/>
      <c r="B48" s="350"/>
      <c r="C48" s="336" t="s">
        <v>264</v>
      </c>
      <c r="D48" s="332"/>
      <c r="E48" s="324"/>
      <c r="F48" s="338">
        <f>IF('Gårdens info'!$D$22&gt;0,J48/'Gårdens info'!$D$22,0)</f>
        <v>391.11111111111109</v>
      </c>
      <c r="G48" s="151" t="s">
        <v>14</v>
      </c>
      <c r="H48" s="339">
        <f>IF('Gårdens info'!$G$22&gt;0,F48/'Gårdens info'!$G$22,0)</f>
        <v>0.11503267973856209</v>
      </c>
      <c r="I48" s="151" t="s">
        <v>6</v>
      </c>
      <c r="J48" s="298">
        <f>Ägendom!AR22</f>
        <v>1955.5555555555554</v>
      </c>
      <c r="K48" s="151" t="s">
        <v>384</v>
      </c>
      <c r="L48" s="329"/>
      <c r="M48" s="321"/>
      <c r="N48"/>
    </row>
    <row r="49" spans="1:21" s="8" customFormat="1" ht="21" x14ac:dyDescent="0.4">
      <c r="A49" s="244"/>
      <c r="B49" s="350"/>
      <c r="C49" s="336" t="s">
        <v>265</v>
      </c>
      <c r="D49" s="332"/>
      <c r="E49" s="324"/>
      <c r="F49" s="338">
        <f>IF('Gårdens info'!$D$22&gt;0,J49/'Gårdens info'!$D$22,0)</f>
        <v>244.44444444444443</v>
      </c>
      <c r="G49" s="151" t="s">
        <v>14</v>
      </c>
      <c r="H49" s="339">
        <f>IF('Gårdens info'!$G$22&gt;0,F49/'Gårdens info'!$G$22,0)</f>
        <v>7.1895424836601302E-2</v>
      </c>
      <c r="I49" s="151" t="s">
        <v>6</v>
      </c>
      <c r="J49" s="298">
        <f>Ägendom!BN22</f>
        <v>1222.2222222222222</v>
      </c>
      <c r="K49" s="151" t="s">
        <v>384</v>
      </c>
      <c r="L49" s="329"/>
      <c r="M49" s="321"/>
      <c r="O49"/>
      <c r="P49"/>
      <c r="Q49"/>
      <c r="R49"/>
      <c r="S49"/>
      <c r="T49"/>
      <c r="U49"/>
    </row>
    <row r="50" spans="1:21" s="8" customFormat="1" ht="17.399999999999999" x14ac:dyDescent="0.3">
      <c r="A50" s="244"/>
      <c r="B50" s="350"/>
      <c r="C50" s="941" t="s">
        <v>266</v>
      </c>
      <c r="D50" s="941"/>
      <c r="E50" s="324"/>
      <c r="F50" s="338">
        <f>IF('Gårdens info'!$D$22&gt;0,J50/'Gårdens info'!$D$22,0)</f>
        <v>97.777777777777771</v>
      </c>
      <c r="G50" s="151" t="s">
        <v>14</v>
      </c>
      <c r="H50" s="339">
        <f>IF('Gårdens info'!$G$22&gt;0,F50/'Gårdens info'!$G$22,0)</f>
        <v>2.8758169934640521E-2</v>
      </c>
      <c r="I50" s="151" t="s">
        <v>6</v>
      </c>
      <c r="J50" s="298">
        <f>Ägendom!CJ22</f>
        <v>488.88888888888886</v>
      </c>
      <c r="K50" s="151" t="s">
        <v>384</v>
      </c>
      <c r="L50" s="329"/>
      <c r="M50" s="321"/>
    </row>
    <row r="51" spans="1:21" s="8" customFormat="1" ht="21" x14ac:dyDescent="0.4">
      <c r="A51" s="244"/>
      <c r="B51" s="350"/>
      <c r="C51" s="336" t="s">
        <v>399</v>
      </c>
      <c r="D51" s="332"/>
      <c r="E51" s="324"/>
      <c r="F51" s="338">
        <f>IF('Gårdens info'!$D$22&gt;0,J51/'Gårdens info'!$D$22,0)</f>
        <v>19.555555555555557</v>
      </c>
      <c r="G51" s="151" t="s">
        <v>14</v>
      </c>
      <c r="H51" s="339">
        <f>IF('Gårdens info'!$G$22&gt;0,F51/'Gårdens info'!$G$22,0)</f>
        <v>5.7516339869281051E-3</v>
      </c>
      <c r="I51" s="151" t="s">
        <v>6</v>
      </c>
      <c r="J51" s="298">
        <f>Ägendom!DF22</f>
        <v>97.777777777777786</v>
      </c>
      <c r="K51" s="151" t="s">
        <v>384</v>
      </c>
      <c r="L51" s="329"/>
      <c r="M51" s="321"/>
    </row>
    <row r="52" spans="1:21" s="8" customFormat="1" ht="20.399999999999999" x14ac:dyDescent="0.35">
      <c r="A52" s="244"/>
      <c r="B52" s="352"/>
      <c r="C52" s="340" t="s">
        <v>196</v>
      </c>
      <c r="D52" s="341"/>
      <c r="E52" s="324"/>
      <c r="F52" s="342">
        <f>SUM(F48:F51)</f>
        <v>752.8888888888888</v>
      </c>
      <c r="G52" s="151" t="s">
        <v>14</v>
      </c>
      <c r="H52" s="348">
        <f t="shared" ref="H52:J52" si="4">SUM(H48:H51)</f>
        <v>0.22143790849673203</v>
      </c>
      <c r="I52" s="151" t="s">
        <v>6</v>
      </c>
      <c r="J52" s="342">
        <f t="shared" si="4"/>
        <v>3764.4444444444439</v>
      </c>
      <c r="K52" s="151" t="s">
        <v>384</v>
      </c>
      <c r="L52" s="343"/>
      <c r="M52" s="321"/>
    </row>
    <row r="53" spans="1:21" s="8" customFormat="1" ht="21" x14ac:dyDescent="0.4">
      <c r="A53" s="244"/>
      <c r="B53" s="350"/>
      <c r="C53" s="336"/>
      <c r="D53" s="332"/>
      <c r="E53" s="324"/>
      <c r="F53" s="338"/>
      <c r="G53" s="151"/>
      <c r="H53" s="339"/>
      <c r="I53" s="151"/>
      <c r="J53" s="298"/>
      <c r="K53" s="151"/>
      <c r="L53" s="329"/>
      <c r="M53" s="321"/>
    </row>
    <row r="54" spans="1:21" s="8" customFormat="1" ht="19.95" customHeight="1" x14ac:dyDescent="0.3">
      <c r="A54" s="244"/>
      <c r="B54" s="970" t="s">
        <v>400</v>
      </c>
      <c r="C54" s="971"/>
      <c r="D54" s="971"/>
      <c r="E54" s="324"/>
      <c r="F54" s="338"/>
      <c r="G54" s="151"/>
      <c r="H54" s="339"/>
      <c r="I54" s="151"/>
      <c r="J54" s="298"/>
      <c r="K54" s="151"/>
      <c r="L54" s="329"/>
      <c r="M54" s="321"/>
    </row>
    <row r="55" spans="1:21" s="8" customFormat="1" ht="21" x14ac:dyDescent="0.4">
      <c r="A55" s="244"/>
      <c r="B55" s="350"/>
      <c r="C55" s="838" t="s">
        <v>264</v>
      </c>
      <c r="D55" s="833"/>
      <c r="E55" s="324"/>
      <c r="F55" s="338">
        <f>IF('Gårdens info'!$D$22&gt;0,J55/'Gårdens info'!$D$22,0)</f>
        <v>170.77086419753084</v>
      </c>
      <c r="G55" s="151" t="s">
        <v>14</v>
      </c>
      <c r="H55" s="339">
        <f>IF('Gårdens info'!$G$22&gt;0,F55/'Gårdens info'!$G$22,0)</f>
        <v>5.0226724763979658E-2</v>
      </c>
      <c r="I55" s="151" t="s">
        <v>6</v>
      </c>
      <c r="J55" s="298">
        <f>Ägendom!AR51</f>
        <v>853.85432098765421</v>
      </c>
      <c r="K55" s="151" t="s">
        <v>384</v>
      </c>
      <c r="L55" s="329"/>
      <c r="M55" s="321"/>
    </row>
    <row r="56" spans="1:21" s="8" customFormat="1" ht="21" x14ac:dyDescent="0.4">
      <c r="A56" s="244"/>
      <c r="B56" s="350"/>
      <c r="C56" s="838" t="s">
        <v>265</v>
      </c>
      <c r="D56" s="833"/>
      <c r="E56" s="324"/>
      <c r="F56" s="338">
        <f>IF('Gårdens info'!$D$22&gt;0,J56/'Gårdens info'!$D$22,0)</f>
        <v>64.039074074074065</v>
      </c>
      <c r="G56" s="151" t="s">
        <v>14</v>
      </c>
      <c r="H56" s="339">
        <f>IF('Gårdens info'!$G$22&gt;0,F56/'Gårdens info'!$G$22,0)</f>
        <v>1.8835021786492372E-2</v>
      </c>
      <c r="I56" s="151" t="s">
        <v>6</v>
      </c>
      <c r="J56" s="298">
        <f>Ägendom!BN51</f>
        <v>320.19537037037031</v>
      </c>
      <c r="K56" s="151" t="s">
        <v>384</v>
      </c>
      <c r="L56" s="329"/>
      <c r="M56" s="321"/>
    </row>
    <row r="57" spans="1:21" s="8" customFormat="1" ht="17.399999999999999" customHeight="1" x14ac:dyDescent="0.3">
      <c r="A57" s="244"/>
      <c r="B57" s="350"/>
      <c r="C57" s="941" t="s">
        <v>266</v>
      </c>
      <c r="D57" s="941"/>
      <c r="E57" s="324"/>
      <c r="F57" s="338">
        <f>IF('Gårdens info'!$D$22&gt;0,J57/'Gårdens info'!$D$22,0)</f>
        <v>152.7357777777778</v>
      </c>
      <c r="G57" s="151" t="s">
        <v>14</v>
      </c>
      <c r="H57" s="339">
        <f>IF('Gårdens info'!$G$22&gt;0,F57/'Gårdens info'!$G$22,0)</f>
        <v>4.4922287581699354E-2</v>
      </c>
      <c r="I57" s="151" t="s">
        <v>6</v>
      </c>
      <c r="J57" s="298">
        <f>Ägendom!CJ51</f>
        <v>763.67888888888899</v>
      </c>
      <c r="K57" s="151" t="s">
        <v>384</v>
      </c>
      <c r="L57" s="329"/>
      <c r="M57" s="321"/>
    </row>
    <row r="58" spans="1:21" s="8" customFormat="1" ht="21" x14ac:dyDescent="0.4">
      <c r="A58" s="244"/>
      <c r="B58" s="350"/>
      <c r="C58" s="838" t="s">
        <v>399</v>
      </c>
      <c r="D58" s="833"/>
      <c r="E58" s="324"/>
      <c r="F58" s="338">
        <f>IF('Gårdens info'!$D$22&gt;0,J58/'Gårdens info'!$D$22,0)</f>
        <v>10.182385185185185</v>
      </c>
      <c r="G58" s="151" t="s">
        <v>14</v>
      </c>
      <c r="H58" s="339">
        <f>IF('Gårdens info'!$G$22&gt;0,F58/'Gårdens info'!$G$22,0)</f>
        <v>2.9948191721132895E-3</v>
      </c>
      <c r="I58" s="151" t="s">
        <v>6</v>
      </c>
      <c r="J58" s="298">
        <f>Ägendom!DF51</f>
        <v>50.911925925925921</v>
      </c>
      <c r="K58" s="151" t="s">
        <v>384</v>
      </c>
      <c r="L58" s="329"/>
      <c r="M58" s="321"/>
    </row>
    <row r="59" spans="1:21" s="8" customFormat="1" ht="20.399999999999999" x14ac:dyDescent="0.35">
      <c r="A59" s="244"/>
      <c r="B59" s="352"/>
      <c r="C59" s="340" t="s">
        <v>196</v>
      </c>
      <c r="D59" s="341"/>
      <c r="E59" s="324"/>
      <c r="F59" s="342">
        <f>SUM(F55:F58)</f>
        <v>397.72810123456787</v>
      </c>
      <c r="G59" s="151" t="s">
        <v>14</v>
      </c>
      <c r="H59" s="348">
        <f t="shared" ref="H59:J59" si="5">SUM(H55:H58)</f>
        <v>0.11697885330428469</v>
      </c>
      <c r="I59" s="151" t="s">
        <v>6</v>
      </c>
      <c r="J59" s="342">
        <f t="shared" si="5"/>
        <v>1988.6405061728397</v>
      </c>
      <c r="K59" s="151" t="s">
        <v>384</v>
      </c>
      <c r="L59" s="343"/>
      <c r="M59" s="321"/>
    </row>
    <row r="60" spans="1:21" s="8" customFormat="1" ht="21" x14ac:dyDescent="0.4">
      <c r="A60" s="244"/>
      <c r="B60" s="350"/>
      <c r="C60" s="336"/>
      <c r="D60" s="332"/>
      <c r="E60" s="324"/>
      <c r="F60" s="338"/>
      <c r="G60" s="151"/>
      <c r="H60" s="339"/>
      <c r="I60" s="151"/>
      <c r="J60" s="298"/>
      <c r="K60" s="151"/>
      <c r="L60" s="329"/>
      <c r="M60" s="321"/>
    </row>
    <row r="61" spans="1:21" s="8" customFormat="1" ht="19.95" customHeight="1" x14ac:dyDescent="0.3">
      <c r="A61" s="244"/>
      <c r="B61" s="947" t="s">
        <v>151</v>
      </c>
      <c r="C61" s="948"/>
      <c r="D61" s="948"/>
      <c r="E61" s="324"/>
      <c r="F61" s="338"/>
      <c r="G61" s="151"/>
      <c r="H61" s="339"/>
      <c r="I61" s="151"/>
      <c r="J61" s="298"/>
      <c r="K61" s="151"/>
      <c r="L61" s="329"/>
      <c r="M61" s="321"/>
    </row>
    <row r="62" spans="1:21" s="8" customFormat="1" ht="21" x14ac:dyDescent="0.4">
      <c r="A62" s="244"/>
      <c r="B62" s="350"/>
      <c r="C62" s="838" t="s">
        <v>264</v>
      </c>
      <c r="D62" s="833"/>
      <c r="E62" s="324"/>
      <c r="F62" s="338">
        <f>IF('Gårdens info'!$D$22&gt;0,J62/'Gårdens info'!$D$22,0)</f>
        <v>173.45238095238093</v>
      </c>
      <c r="G62" s="151" t="s">
        <v>14</v>
      </c>
      <c r="H62" s="339">
        <f>IF('Gårdens info'!$G$22&gt;0,F62/'Gårdens info'!$G$22,0)</f>
        <v>5.1015406162464978E-2</v>
      </c>
      <c r="I62" s="151" t="s">
        <v>6</v>
      </c>
      <c r="J62" s="298">
        <f>Ägendom!AR76</f>
        <v>867.2619047619047</v>
      </c>
      <c r="K62" s="151" t="s">
        <v>384</v>
      </c>
      <c r="L62" s="329"/>
      <c r="M62" s="321"/>
    </row>
    <row r="63" spans="1:21" s="8" customFormat="1" ht="21" x14ac:dyDescent="0.4">
      <c r="A63" s="244"/>
      <c r="B63" s="350"/>
      <c r="C63" s="838" t="s">
        <v>265</v>
      </c>
      <c r="D63" s="833"/>
      <c r="E63" s="324"/>
      <c r="F63" s="338">
        <f>IF('Gårdens info'!$D$22&gt;0,J63/'Gårdens info'!$D$22,0)</f>
        <v>17.470238095238095</v>
      </c>
      <c r="G63" s="151" t="s">
        <v>14</v>
      </c>
      <c r="H63" s="339">
        <f>IF('Gårdens info'!$G$22&gt;0,F63/'Gårdens info'!$G$22,0)</f>
        <v>5.1383053221288515E-3</v>
      </c>
      <c r="I63" s="151" t="s">
        <v>6</v>
      </c>
      <c r="J63" s="298">
        <f>Ägendom!BN76</f>
        <v>87.351190476190482</v>
      </c>
      <c r="K63" s="151" t="s">
        <v>384</v>
      </c>
      <c r="L63" s="329"/>
      <c r="M63" s="321"/>
    </row>
    <row r="64" spans="1:21" s="8" customFormat="1" ht="17.399999999999999" customHeight="1" x14ac:dyDescent="0.3">
      <c r="A64" s="244"/>
      <c r="B64" s="350"/>
      <c r="C64" s="941" t="s">
        <v>266</v>
      </c>
      <c r="D64" s="941"/>
      <c r="E64" s="324"/>
      <c r="F64" s="338">
        <f>IF('Gårdens info'!$D$22&gt;0,J64/'Gårdens info'!$D$22,0)</f>
        <v>101.27380952380952</v>
      </c>
      <c r="G64" s="151" t="s">
        <v>14</v>
      </c>
      <c r="H64" s="339">
        <f>IF('Gårdens info'!$G$22&gt;0,F64/'Gårdens info'!$G$22,0)</f>
        <v>2.9786414565826327E-2</v>
      </c>
      <c r="I64" s="151" t="s">
        <v>6</v>
      </c>
      <c r="J64" s="298">
        <f>Ägendom!CJ76</f>
        <v>506.36904761904759</v>
      </c>
      <c r="K64" s="151" t="s">
        <v>384</v>
      </c>
      <c r="L64" s="329"/>
      <c r="M64" s="321"/>
    </row>
    <row r="65" spans="1:21" s="8" customFormat="1" ht="21" x14ac:dyDescent="0.4">
      <c r="A65" s="244"/>
      <c r="B65" s="350"/>
      <c r="C65" s="838" t="s">
        <v>399</v>
      </c>
      <c r="D65" s="833"/>
      <c r="E65" s="324"/>
      <c r="F65" s="338">
        <f>IF('Gårdens info'!$D$22&gt;0,J65/'Gårdens info'!$D$22,0)</f>
        <v>4.0509523809523804</v>
      </c>
      <c r="G65" s="151" t="s">
        <v>14</v>
      </c>
      <c r="H65" s="339">
        <f>IF('Gårdens info'!$G$22&gt;0,F65/'Gårdens info'!$G$22,0)</f>
        <v>1.1914565826330532E-3</v>
      </c>
      <c r="I65" s="151" t="s">
        <v>6</v>
      </c>
      <c r="J65" s="298">
        <f>Ägendom!DF76</f>
        <v>20.254761904761903</v>
      </c>
      <c r="K65" s="151" t="s">
        <v>384</v>
      </c>
      <c r="L65" s="329"/>
      <c r="M65" s="321"/>
    </row>
    <row r="66" spans="1:21" s="8" customFormat="1" ht="20.399999999999999" x14ac:dyDescent="0.35">
      <c r="A66" s="244"/>
      <c r="B66" s="352"/>
      <c r="C66" s="340" t="s">
        <v>196</v>
      </c>
      <c r="D66" s="341"/>
      <c r="E66" s="324"/>
      <c r="F66" s="342">
        <f>SUM(F62:F65)</f>
        <v>296.24738095238092</v>
      </c>
      <c r="G66" s="151" t="s">
        <v>14</v>
      </c>
      <c r="H66" s="348">
        <f t="shared" ref="H66:J66" si="6">SUM(H62:H65)</f>
        <v>8.7131582633053206E-2</v>
      </c>
      <c r="I66" s="151" t="s">
        <v>6</v>
      </c>
      <c r="J66" s="342">
        <f t="shared" si="6"/>
        <v>1481.2369047619045</v>
      </c>
      <c r="K66" s="151" t="s">
        <v>384</v>
      </c>
      <c r="L66" s="343"/>
      <c r="M66" s="321"/>
    </row>
    <row r="67" spans="1:21" s="8" customFormat="1" ht="21" x14ac:dyDescent="0.4">
      <c r="A67" s="244"/>
      <c r="B67" s="350"/>
      <c r="C67" s="336"/>
      <c r="D67" s="332"/>
      <c r="E67" s="324"/>
      <c r="F67" s="338"/>
      <c r="G67" s="151"/>
      <c r="H67" s="339"/>
      <c r="I67" s="151"/>
      <c r="J67" s="298"/>
      <c r="K67" s="151"/>
      <c r="L67" s="329"/>
      <c r="M67" s="321"/>
    </row>
    <row r="68" spans="1:21" s="8" customFormat="1" ht="21" x14ac:dyDescent="0.4">
      <c r="A68" s="244"/>
      <c r="B68" s="951" t="s">
        <v>160</v>
      </c>
      <c r="C68" s="952"/>
      <c r="D68" s="332"/>
      <c r="E68" s="324"/>
      <c r="F68" s="338"/>
      <c r="G68" s="151"/>
      <c r="H68" s="339"/>
      <c r="I68" s="151"/>
      <c r="J68" s="298"/>
      <c r="K68" s="151"/>
      <c r="L68" s="329"/>
      <c r="M68" s="321"/>
    </row>
    <row r="69" spans="1:21" s="8" customFormat="1" ht="21" x14ac:dyDescent="0.4">
      <c r="A69" s="244"/>
      <c r="B69" s="350"/>
      <c r="C69" s="838" t="s">
        <v>264</v>
      </c>
      <c r="D69" s="833"/>
      <c r="E69" s="324"/>
      <c r="F69" s="338">
        <f>IF('Gårdens info'!$D$22&gt;0,J69/'Gårdens info'!$D$22,0)</f>
        <v>0</v>
      </c>
      <c r="G69" s="151" t="s">
        <v>14</v>
      </c>
      <c r="H69" s="339">
        <f>IF('Gårdens info'!$G$22&gt;0,F69/'Gårdens info'!$G$22,0)</f>
        <v>0</v>
      </c>
      <c r="I69" s="151" t="s">
        <v>6</v>
      </c>
      <c r="J69" s="298">
        <f>Ägendom!AR79</f>
        <v>0</v>
      </c>
      <c r="K69" s="151" t="s">
        <v>384</v>
      </c>
      <c r="L69" s="329"/>
      <c r="M69" s="321"/>
    </row>
    <row r="70" spans="1:21" s="8" customFormat="1" ht="21" x14ac:dyDescent="0.4">
      <c r="A70" s="244"/>
      <c r="B70" s="350"/>
      <c r="C70" s="838" t="s">
        <v>265</v>
      </c>
      <c r="D70" s="833"/>
      <c r="E70" s="324"/>
      <c r="F70" s="338">
        <f>IF('Gårdens info'!$D$22&gt;0,J70/'Gårdens info'!$D$22,0)</f>
        <v>0</v>
      </c>
      <c r="G70" s="151" t="s">
        <v>14</v>
      </c>
      <c r="H70" s="339">
        <f>IF('Gårdens info'!$G$22&gt;0,F70/'Gårdens info'!$G$22,0)</f>
        <v>0</v>
      </c>
      <c r="I70" s="151" t="s">
        <v>6</v>
      </c>
      <c r="J70" s="298">
        <f>Ägendom!BN79</f>
        <v>0</v>
      </c>
      <c r="K70" s="151" t="s">
        <v>384</v>
      </c>
      <c r="L70" s="329"/>
      <c r="M70" s="321"/>
    </row>
    <row r="71" spans="1:21" s="8" customFormat="1" ht="17.399999999999999" customHeight="1" x14ac:dyDescent="0.3">
      <c r="A71" s="244"/>
      <c r="B71" s="350"/>
      <c r="C71" s="941" t="s">
        <v>266</v>
      </c>
      <c r="D71" s="941"/>
      <c r="E71" s="324"/>
      <c r="F71" s="338">
        <f>IF('Gårdens info'!$D$22&gt;0,J71/'Gårdens info'!$D$22,0)</f>
        <v>22.222222222222221</v>
      </c>
      <c r="G71" s="151" t="s">
        <v>14</v>
      </c>
      <c r="H71" s="339">
        <f>IF('Gårdens info'!$G$22&gt;0,F71/'Gårdens info'!$G$22,0)</f>
        <v>6.5359477124183009E-3</v>
      </c>
      <c r="I71" s="151" t="s">
        <v>6</v>
      </c>
      <c r="J71" s="298">
        <f>Ägendom!CJ79</f>
        <v>111.1111111111111</v>
      </c>
      <c r="K71" s="151" t="s">
        <v>384</v>
      </c>
      <c r="L71" s="329"/>
      <c r="M71" s="321"/>
    </row>
    <row r="72" spans="1:21" s="239" customFormat="1" ht="15.6" x14ac:dyDescent="0.3">
      <c r="A72" s="346"/>
      <c r="B72" s="349"/>
      <c r="C72" s="323" t="s">
        <v>196</v>
      </c>
      <c r="D72" s="323"/>
      <c r="E72" s="323"/>
      <c r="F72" s="342">
        <f>SUM(F69:F71)</f>
        <v>22.222222222222221</v>
      </c>
      <c r="G72" s="151" t="s">
        <v>14</v>
      </c>
      <c r="H72" s="348">
        <f t="shared" ref="H72:J72" si="7">SUM(H69:H71)</f>
        <v>6.5359477124183009E-3</v>
      </c>
      <c r="I72" s="151" t="s">
        <v>6</v>
      </c>
      <c r="J72" s="342">
        <f t="shared" si="7"/>
        <v>111.1111111111111</v>
      </c>
      <c r="K72" s="151" t="s">
        <v>384</v>
      </c>
      <c r="L72" s="347"/>
      <c r="M72" s="353"/>
      <c r="N72" s="8"/>
      <c r="O72" s="8"/>
      <c r="P72" s="8"/>
      <c r="Q72" s="8"/>
      <c r="R72" s="8"/>
      <c r="S72" s="8"/>
      <c r="T72" s="8"/>
      <c r="U72" s="8"/>
    </row>
    <row r="73" spans="1:21" s="8" customFormat="1" ht="21" x14ac:dyDescent="0.4">
      <c r="A73" s="244"/>
      <c r="B73" s="932" t="s">
        <v>229</v>
      </c>
      <c r="C73" s="933"/>
      <c r="D73" s="933"/>
      <c r="E73" s="324"/>
      <c r="F73" s="328">
        <f>F52+F59+F66+F72</f>
        <v>1469.0865932980596</v>
      </c>
      <c r="G73" s="329" t="s">
        <v>14</v>
      </c>
      <c r="H73" s="330">
        <f>H52+H59+H66+H72</f>
        <v>0.43208429214648819</v>
      </c>
      <c r="I73" s="329" t="s">
        <v>6</v>
      </c>
      <c r="J73" s="331">
        <f>J52+J59+J66+J72</f>
        <v>7345.4329664902998</v>
      </c>
      <c r="K73" s="329" t="s">
        <v>384</v>
      </c>
      <c r="L73" s="329"/>
      <c r="M73" s="321"/>
    </row>
    <row r="74" spans="1:21" s="8" customFormat="1" ht="40.950000000000003" customHeight="1" x14ac:dyDescent="0.3">
      <c r="A74" s="244"/>
      <c r="B74" s="349"/>
      <c r="C74" s="324"/>
      <c r="D74" s="324"/>
      <c r="E74" s="324"/>
      <c r="F74" s="325"/>
      <c r="G74" s="304"/>
      <c r="H74" s="326"/>
      <c r="I74" s="304"/>
      <c r="J74" s="320"/>
      <c r="K74" s="304"/>
      <c r="L74" s="327"/>
      <c r="M74" s="321"/>
      <c r="N74" s="239"/>
    </row>
    <row r="75" spans="1:21" s="8" customFormat="1" ht="21" x14ac:dyDescent="0.4">
      <c r="A75" s="244"/>
      <c r="B75" s="319" t="s">
        <v>230</v>
      </c>
      <c r="C75" s="324"/>
      <c r="D75" s="324"/>
      <c r="E75" s="324"/>
      <c r="F75" s="325"/>
      <c r="G75" s="304"/>
      <c r="H75" s="326"/>
      <c r="I75" s="304"/>
      <c r="J75" s="320"/>
      <c r="K75" s="304"/>
      <c r="L75" s="327"/>
      <c r="M75" s="321"/>
      <c r="O75" s="239"/>
      <c r="P75" s="239"/>
      <c r="Q75" s="239"/>
      <c r="R75" s="239"/>
      <c r="S75" s="239"/>
      <c r="T75" s="239"/>
      <c r="U75" s="239"/>
    </row>
    <row r="76" spans="1:21" s="77" customFormat="1" ht="17.399999999999999" x14ac:dyDescent="0.3">
      <c r="A76" s="240"/>
      <c r="B76" s="972" t="s">
        <v>383</v>
      </c>
      <c r="C76" s="973"/>
      <c r="D76" s="973"/>
      <c r="E76" s="153"/>
      <c r="F76" s="153"/>
      <c r="G76" s="153"/>
      <c r="H76" s="153"/>
      <c r="I76" s="153"/>
      <c r="J76" s="294"/>
      <c r="K76" s="153"/>
      <c r="L76" s="153"/>
      <c r="M76" s="295"/>
      <c r="N76" s="8"/>
      <c r="O76" s="8"/>
      <c r="P76" s="8"/>
      <c r="Q76" s="8"/>
      <c r="R76" s="8"/>
      <c r="S76" s="8"/>
      <c r="T76" s="8"/>
      <c r="U76" s="8"/>
    </row>
    <row r="77" spans="1:21" s="91" customFormat="1" ht="15" x14ac:dyDescent="0.25">
      <c r="A77" s="238"/>
      <c r="B77" s="296"/>
      <c r="C77" s="289" t="s">
        <v>230</v>
      </c>
      <c r="D77" s="297"/>
      <c r="E77" s="297"/>
      <c r="F77" s="298">
        <f>IF('Gårdens info'!D22&gt;0,H172/'Gårdens info'!I22,0)</f>
        <v>553.41666666666663</v>
      </c>
      <c r="G77" s="151" t="s">
        <v>14</v>
      </c>
      <c r="H77" s="299">
        <f>IF('Gårdens info'!G22&gt;0,F77/'Gårdens info'!$G$22,0)</f>
        <v>0.16276960784313724</v>
      </c>
      <c r="I77" s="151" t="s">
        <v>6</v>
      </c>
      <c r="J77" s="298">
        <f>F77*'Gårdens info'!D22</f>
        <v>2767.083333333333</v>
      </c>
      <c r="K77" s="151" t="s">
        <v>384</v>
      </c>
      <c r="L77" s="297"/>
      <c r="M77" s="300"/>
      <c r="N77" s="8"/>
      <c r="O77" s="8"/>
      <c r="P77" s="8"/>
      <c r="Q77" s="8"/>
      <c r="R77" s="8"/>
      <c r="S77" s="8"/>
      <c r="T77" s="8"/>
      <c r="U77" s="8"/>
    </row>
    <row r="78" spans="1:21" s="8" customFormat="1" ht="17.399999999999999" x14ac:dyDescent="0.3">
      <c r="A78" s="244"/>
      <c r="B78" s="349"/>
      <c r="C78" s="324"/>
      <c r="D78" s="324"/>
      <c r="E78" s="324"/>
      <c r="F78" s="325"/>
      <c r="G78" s="304"/>
      <c r="H78" s="326"/>
      <c r="I78" s="304"/>
      <c r="J78" s="320"/>
      <c r="K78" s="304"/>
      <c r="L78" s="327"/>
      <c r="M78" s="321"/>
      <c r="N78" s="77"/>
    </row>
    <row r="79" spans="1:21" s="77" customFormat="1" ht="17.399999999999999" x14ac:dyDescent="0.3">
      <c r="A79" s="240"/>
      <c r="B79" s="612" t="s">
        <v>368</v>
      </c>
      <c r="C79" s="306"/>
      <c r="D79" s="310"/>
      <c r="E79" s="310"/>
      <c r="F79" s="311"/>
      <c r="G79" s="153"/>
      <c r="H79" s="310"/>
      <c r="I79" s="310"/>
      <c r="J79" s="310"/>
      <c r="K79" s="310"/>
      <c r="L79" s="310"/>
      <c r="M79" s="295"/>
      <c r="N79" s="91"/>
    </row>
    <row r="80" spans="1:21" s="91" customFormat="1" ht="15" x14ac:dyDescent="0.25">
      <c r="A80" s="238"/>
      <c r="B80" s="296"/>
      <c r="C80" s="289" t="s">
        <v>230</v>
      </c>
      <c r="D80" s="297"/>
      <c r="E80" s="297"/>
      <c r="F80" s="298">
        <f>IF('Gårdens info'!D22&gt;0,H278,0)</f>
        <v>2624.5</v>
      </c>
      <c r="G80" s="151" t="s">
        <v>14</v>
      </c>
      <c r="H80" s="299">
        <f>IF('Gårdens info'!G22&gt;0,F80/'Gårdens info'!$G$22,0)</f>
        <v>0.77191176470588241</v>
      </c>
      <c r="I80" s="151" t="s">
        <v>6</v>
      </c>
      <c r="J80" s="298">
        <f>F80*'Gårdens info'!D22</f>
        <v>13122.5</v>
      </c>
      <c r="K80" s="151" t="s">
        <v>384</v>
      </c>
      <c r="L80" s="297"/>
      <c r="M80" s="300"/>
      <c r="N80" s="8"/>
    </row>
    <row r="81" spans="1:21" s="77" customFormat="1" ht="17.399999999999999" x14ac:dyDescent="0.3">
      <c r="A81" s="240"/>
      <c r="B81" s="309"/>
      <c r="C81" s="306"/>
      <c r="D81" s="310"/>
      <c r="E81" s="310"/>
      <c r="F81" s="311"/>
      <c r="G81" s="153"/>
      <c r="H81" s="310"/>
      <c r="I81" s="310"/>
      <c r="J81" s="310"/>
      <c r="K81" s="310"/>
      <c r="L81" s="310"/>
      <c r="M81" s="295"/>
      <c r="O81" s="8"/>
      <c r="P81" s="8"/>
      <c r="Q81" s="8"/>
      <c r="R81" s="8"/>
      <c r="S81" s="8"/>
      <c r="T81" s="8"/>
      <c r="U81" s="8"/>
    </row>
    <row r="82" spans="1:21" ht="27" customHeight="1" x14ac:dyDescent="0.3">
      <c r="B82" s="612" t="s">
        <v>395</v>
      </c>
      <c r="C82" s="306"/>
      <c r="D82" s="307"/>
      <c r="E82" s="307"/>
      <c r="F82" s="307"/>
      <c r="G82" s="307"/>
      <c r="H82" s="307"/>
      <c r="I82" s="307"/>
      <c r="J82" s="307"/>
      <c r="K82" s="307"/>
      <c r="L82" s="307"/>
      <c r="M82" s="287"/>
      <c r="N82" s="91"/>
      <c r="O82" s="77"/>
      <c r="P82" s="77"/>
      <c r="Q82" s="77"/>
      <c r="R82" s="77"/>
      <c r="S82" s="77"/>
      <c r="T82" s="77"/>
      <c r="U82" s="77"/>
    </row>
    <row r="83" spans="1:21" s="91" customFormat="1" ht="17.399999999999999" x14ac:dyDescent="0.3">
      <c r="A83" s="238"/>
      <c r="B83" s="296"/>
      <c r="C83" s="289" t="s">
        <v>230</v>
      </c>
      <c r="D83" s="297"/>
      <c r="E83" s="297"/>
      <c r="F83" s="298">
        <f>IF('Gårdens info'!D22&gt;0,H334/'Gårdens info'!I22,0)</f>
        <v>183.66666666666666</v>
      </c>
      <c r="G83" s="151" t="s">
        <v>14</v>
      </c>
      <c r="H83" s="299">
        <f>IF('Gårdens info'!G22&gt;0,F83/'Gårdens info'!$G$22,0)</f>
        <v>5.4019607843137252E-2</v>
      </c>
      <c r="I83" s="151" t="s">
        <v>6</v>
      </c>
      <c r="J83" s="298">
        <f>F83*'Gårdens info'!D22</f>
        <v>918.33333333333326</v>
      </c>
      <c r="K83" s="151" t="s">
        <v>384</v>
      </c>
      <c r="L83" s="297"/>
      <c r="M83" s="300"/>
      <c r="N83" s="77"/>
    </row>
    <row r="84" spans="1:21" s="8" customFormat="1" ht="21" x14ac:dyDescent="0.4">
      <c r="A84" s="244"/>
      <c r="B84" s="932" t="s">
        <v>230</v>
      </c>
      <c r="C84" s="933"/>
      <c r="D84" s="933"/>
      <c r="E84" s="324"/>
      <c r="F84" s="328">
        <f>F77+F80+F83</f>
        <v>3361.583333333333</v>
      </c>
      <c r="G84" s="329" t="s">
        <v>14</v>
      </c>
      <c r="H84" s="330">
        <f>H77+H80+H83</f>
        <v>0.98870098039215693</v>
      </c>
      <c r="I84" s="329" t="s">
        <v>6</v>
      </c>
      <c r="J84" s="331">
        <f>J77+J80+J83</f>
        <v>16807.916666666664</v>
      </c>
      <c r="K84" s="329" t="s">
        <v>384</v>
      </c>
      <c r="L84" s="329"/>
      <c r="M84" s="321"/>
      <c r="N84"/>
      <c r="O84" s="77"/>
      <c r="P84" s="77"/>
      <c r="Q84" s="77"/>
      <c r="R84" s="77"/>
      <c r="S84" s="77"/>
      <c r="T84" s="77"/>
      <c r="U84" s="77"/>
    </row>
    <row r="85" spans="1:21" s="8" customFormat="1" ht="21" x14ac:dyDescent="0.4">
      <c r="A85" s="244"/>
      <c r="B85" s="689"/>
      <c r="C85" s="690"/>
      <c r="D85" s="690"/>
      <c r="E85" s="324"/>
      <c r="F85" s="328"/>
      <c r="G85" s="329"/>
      <c r="H85" s="330"/>
      <c r="I85" s="329"/>
      <c r="J85" s="331"/>
      <c r="K85" s="329"/>
      <c r="L85" s="329"/>
      <c r="M85" s="321"/>
      <c r="N85"/>
      <c r="O85"/>
      <c r="P85"/>
      <c r="Q85"/>
      <c r="R85"/>
      <c r="S85"/>
      <c r="T85"/>
      <c r="U85"/>
    </row>
    <row r="86" spans="1:21" s="8" customFormat="1" ht="19.95" customHeight="1" x14ac:dyDescent="0.4">
      <c r="A86" s="244"/>
      <c r="B86" s="932" t="s">
        <v>268</v>
      </c>
      <c r="C86" s="933"/>
      <c r="D86" s="933"/>
      <c r="E86" s="324"/>
      <c r="F86" s="328">
        <f>F44+F73+F84</f>
        <v>36433.634963668432</v>
      </c>
      <c r="G86" s="329" t="s">
        <v>14</v>
      </c>
      <c r="H86" s="705">
        <f>H44+H73+H84</f>
        <v>10.67819328996784</v>
      </c>
      <c r="I86" s="329" t="s">
        <v>6</v>
      </c>
      <c r="J86" s="328">
        <f>J44+J73+J84</f>
        <v>182168.17481834214</v>
      </c>
      <c r="K86" s="329" t="s">
        <v>384</v>
      </c>
      <c r="L86" s="329"/>
      <c r="M86" s="321"/>
      <c r="N86"/>
      <c r="O86"/>
      <c r="P86"/>
      <c r="Q86"/>
      <c r="R86"/>
      <c r="S86"/>
      <c r="T86"/>
      <c r="U86"/>
    </row>
    <row r="87" spans="1:21" s="8" customFormat="1" ht="21" x14ac:dyDescent="0.4">
      <c r="A87" s="244"/>
      <c r="B87" s="351"/>
      <c r="C87" s="332"/>
      <c r="D87" s="332"/>
      <c r="E87" s="324"/>
      <c r="F87" s="328"/>
      <c r="G87" s="329"/>
      <c r="H87" s="330"/>
      <c r="I87" s="329"/>
      <c r="J87" s="331"/>
      <c r="K87" s="329"/>
      <c r="L87" s="329"/>
      <c r="M87" s="321"/>
      <c r="N87" s="91"/>
      <c r="O87"/>
      <c r="P87"/>
      <c r="Q87"/>
      <c r="R87"/>
      <c r="S87"/>
      <c r="T87"/>
      <c r="U87"/>
    </row>
    <row r="88" spans="1:21" s="8" customFormat="1" ht="21.6" thickBot="1" x14ac:dyDescent="0.45">
      <c r="A88" s="244"/>
      <c r="B88" s="936" t="s">
        <v>269</v>
      </c>
      <c r="C88" s="937"/>
      <c r="D88" s="937"/>
      <c r="E88" s="315"/>
      <c r="F88" s="355">
        <f>F11-F44-F73-F84</f>
        <v>-19263.634963668428</v>
      </c>
      <c r="G88" s="356" t="s">
        <v>14</v>
      </c>
      <c r="H88" s="357">
        <f>H11-H44-H73-H84</f>
        <v>-5.6281932899678413</v>
      </c>
      <c r="I88" s="356" t="s">
        <v>6</v>
      </c>
      <c r="J88" s="355">
        <f>J11-J44-J73-J84</f>
        <v>-96318.174818342144</v>
      </c>
      <c r="K88" s="356" t="s">
        <v>384</v>
      </c>
      <c r="L88" s="356"/>
      <c r="M88" s="316"/>
      <c r="O88" s="91"/>
      <c r="P88" s="91"/>
      <c r="Q88" s="91"/>
      <c r="R88" s="91"/>
      <c r="S88" s="91"/>
      <c r="T88" s="91"/>
      <c r="U88" s="91"/>
    </row>
    <row r="89" spans="1:21" ht="57" customHeight="1" thickBot="1" x14ac:dyDescent="0.45">
      <c r="B89" s="76"/>
      <c r="N89" s="8"/>
      <c r="O89" s="8"/>
      <c r="P89" s="8"/>
      <c r="Q89" s="8"/>
      <c r="R89" s="8"/>
      <c r="S89" s="8"/>
      <c r="T89" s="8"/>
      <c r="U89" s="8"/>
    </row>
    <row r="90" spans="1:21" ht="22.95" customHeight="1" thickBot="1" x14ac:dyDescent="0.45">
      <c r="B90" s="977" t="s">
        <v>383</v>
      </c>
      <c r="C90" s="978"/>
      <c r="D90" s="978"/>
      <c r="E90" s="979"/>
      <c r="L90" s="956" t="s">
        <v>271</v>
      </c>
      <c r="M90" s="956"/>
      <c r="N90" s="8"/>
      <c r="O90" s="8"/>
      <c r="P90" s="8"/>
      <c r="Q90" s="8"/>
      <c r="R90" s="8"/>
      <c r="S90" s="8"/>
      <c r="T90" s="8"/>
      <c r="U90" s="8"/>
    </row>
    <row r="91" spans="1:21" ht="16.95" customHeight="1" x14ac:dyDescent="0.4">
      <c r="B91" s="237"/>
      <c r="C91" s="237"/>
      <c r="D91" s="237"/>
      <c r="E91" s="237"/>
      <c r="O91" s="8"/>
      <c r="P91" s="8"/>
      <c r="Q91" s="8"/>
      <c r="R91" s="8"/>
      <c r="S91" s="8"/>
      <c r="T91" s="8"/>
      <c r="U91" s="8"/>
    </row>
    <row r="92" spans="1:21" ht="15.6" x14ac:dyDescent="0.3">
      <c r="B92" s="113" t="s">
        <v>401</v>
      </c>
      <c r="C92" s="65"/>
      <c r="D92" s="65"/>
      <c r="E92" s="65"/>
      <c r="F92" s="959" t="s">
        <v>159</v>
      </c>
      <c r="G92" s="959"/>
      <c r="H92" s="959" t="s">
        <v>158</v>
      </c>
      <c r="I92" s="959"/>
      <c r="J92" s="959" t="s">
        <v>273</v>
      </c>
      <c r="K92" s="959"/>
      <c r="L92" s="143" t="s">
        <v>274</v>
      </c>
      <c r="M92" s="67"/>
    </row>
    <row r="93" spans="1:21" ht="13.8" thickBot="1" x14ac:dyDescent="0.3">
      <c r="B93" s="69"/>
      <c r="C93" s="65"/>
      <c r="D93" s="65"/>
      <c r="E93" s="65"/>
      <c r="F93" s="65"/>
      <c r="G93" s="65"/>
      <c r="H93" s="65"/>
      <c r="I93" s="65"/>
      <c r="J93" s="67"/>
      <c r="K93" s="67"/>
      <c r="L93" s="67"/>
      <c r="M93" s="67"/>
    </row>
    <row r="94" spans="1:21" ht="13.8" thickBot="1" x14ac:dyDescent="0.3">
      <c r="B94" s="65"/>
      <c r="C94" s="66" t="s">
        <v>402</v>
      </c>
      <c r="D94" s="67"/>
      <c r="E94" s="65"/>
      <c r="F94" s="118">
        <v>25000</v>
      </c>
      <c r="G94" s="65" t="s">
        <v>327</v>
      </c>
      <c r="H94" s="95">
        <v>0.25</v>
      </c>
      <c r="I94" s="70" t="s">
        <v>7</v>
      </c>
      <c r="J94" s="235">
        <f>F94*H94</f>
        <v>6250</v>
      </c>
      <c r="K94" s="65" t="s">
        <v>14</v>
      </c>
      <c r="L94" s="65" t="s">
        <v>406</v>
      </c>
      <c r="M94" s="67"/>
    </row>
    <row r="95" spans="1:21" ht="13.8" thickBot="1" x14ac:dyDescent="0.3">
      <c r="B95" s="65"/>
      <c r="C95" s="65" t="s">
        <v>403</v>
      </c>
      <c r="D95" s="66"/>
      <c r="E95" s="65"/>
      <c r="F95" s="118"/>
      <c r="G95" s="65" t="s">
        <v>327</v>
      </c>
      <c r="H95" s="95"/>
      <c r="I95" s="70" t="s">
        <v>7</v>
      </c>
      <c r="J95" s="235">
        <f t="shared" ref="J95:J98" si="8">F95*H95</f>
        <v>0</v>
      </c>
      <c r="K95" s="65" t="s">
        <v>14</v>
      </c>
      <c r="L95" s="67"/>
      <c r="M95" s="67"/>
    </row>
    <row r="96" spans="1:21" ht="13.8" thickBot="1" x14ac:dyDescent="0.3">
      <c r="B96" s="65"/>
      <c r="C96" s="65" t="s">
        <v>403</v>
      </c>
      <c r="D96" s="66"/>
      <c r="E96" s="65"/>
      <c r="F96" s="118"/>
      <c r="G96" s="65" t="s">
        <v>327</v>
      </c>
      <c r="H96" s="95"/>
      <c r="I96" s="70" t="s">
        <v>7</v>
      </c>
      <c r="J96" s="235">
        <f t="shared" si="8"/>
        <v>0</v>
      </c>
      <c r="K96" s="65" t="s">
        <v>14</v>
      </c>
      <c r="L96" s="67"/>
      <c r="M96" s="67"/>
    </row>
    <row r="97" spans="1:21" ht="13.8" thickBot="1" x14ac:dyDescent="0.3">
      <c r="B97" s="65"/>
      <c r="C97" s="65"/>
      <c r="D97" s="71"/>
      <c r="E97" s="65"/>
      <c r="F97" s="65"/>
      <c r="G97" s="65"/>
      <c r="H97" s="70"/>
      <c r="I97" s="70"/>
      <c r="J97" s="235"/>
      <c r="K97" s="65"/>
      <c r="L97" s="67"/>
      <c r="M97" s="67"/>
    </row>
    <row r="98" spans="1:21" ht="13.8" thickBot="1" x14ac:dyDescent="0.3">
      <c r="B98" s="65"/>
      <c r="C98" s="65" t="s">
        <v>404</v>
      </c>
      <c r="D98" s="71"/>
      <c r="E98" s="65"/>
      <c r="F98" s="118">
        <v>0</v>
      </c>
      <c r="G98" s="65" t="s">
        <v>327</v>
      </c>
      <c r="H98" s="99">
        <v>0</v>
      </c>
      <c r="I98" s="70" t="s">
        <v>6</v>
      </c>
      <c r="J98" s="235">
        <f t="shared" si="8"/>
        <v>0</v>
      </c>
      <c r="K98" s="65" t="s">
        <v>14</v>
      </c>
      <c r="L98" s="67"/>
      <c r="M98" s="67"/>
    </row>
    <row r="99" spans="1:21" ht="13.8" thickBot="1" x14ac:dyDescent="0.3">
      <c r="B99" s="65"/>
      <c r="C99" s="65" t="s">
        <v>405</v>
      </c>
      <c r="D99" s="71"/>
      <c r="E99" s="65"/>
      <c r="F99" s="118"/>
      <c r="G99" s="65" t="s">
        <v>327</v>
      </c>
      <c r="H99" s="99"/>
      <c r="I99" s="70" t="s">
        <v>6</v>
      </c>
      <c r="J99" s="235"/>
      <c r="K99" s="65" t="s">
        <v>14</v>
      </c>
      <c r="L99" s="67"/>
      <c r="M99" s="67"/>
    </row>
    <row r="100" spans="1:21" s="8" customFormat="1" x14ac:dyDescent="0.25">
      <c r="A100" s="244"/>
      <c r="B100" s="71"/>
      <c r="C100" s="71" t="s">
        <v>196</v>
      </c>
      <c r="D100" s="71"/>
      <c r="E100" s="71"/>
      <c r="F100" s="277"/>
      <c r="G100" s="71"/>
      <c r="H100" s="278"/>
      <c r="I100" s="279"/>
      <c r="J100" s="280">
        <f>SUM(J94:J99)</f>
        <v>6250</v>
      </c>
      <c r="K100" s="71" t="s">
        <v>14</v>
      </c>
      <c r="L100" s="71"/>
      <c r="M100" s="71"/>
      <c r="N100"/>
      <c r="O100"/>
      <c r="P100"/>
      <c r="Q100"/>
      <c r="R100"/>
      <c r="S100"/>
      <c r="T100"/>
      <c r="U100"/>
    </row>
    <row r="101" spans="1:21" x14ac:dyDescent="0.25">
      <c r="B101" s="65"/>
      <c r="C101" s="65"/>
      <c r="D101" s="71"/>
      <c r="E101" s="65"/>
      <c r="F101" s="68"/>
      <c r="G101" s="65"/>
      <c r="H101" s="70"/>
      <c r="I101" s="70"/>
      <c r="J101" s="67"/>
      <c r="K101" s="65"/>
      <c r="L101" s="67"/>
      <c r="M101" s="67"/>
    </row>
    <row r="102" spans="1:21" ht="37.049999999999997" customHeight="1" x14ac:dyDescent="0.25">
      <c r="B102" s="24"/>
      <c r="C102" s="24"/>
      <c r="D102" s="8"/>
      <c r="E102" s="24"/>
      <c r="F102" s="24"/>
      <c r="G102" s="24"/>
      <c r="H102" s="62"/>
      <c r="I102" s="62"/>
      <c r="N102" s="8"/>
    </row>
    <row r="103" spans="1:21" ht="15.6" x14ac:dyDescent="0.3">
      <c r="B103" s="120" t="s">
        <v>407</v>
      </c>
      <c r="C103" s="121"/>
      <c r="D103" s="121"/>
      <c r="E103" s="121"/>
      <c r="F103" s="960" t="s">
        <v>159</v>
      </c>
      <c r="G103" s="960"/>
      <c r="H103" s="960" t="s">
        <v>158</v>
      </c>
      <c r="I103" s="960"/>
      <c r="J103" s="960" t="s">
        <v>273</v>
      </c>
      <c r="K103" s="960"/>
      <c r="L103" s="123"/>
      <c r="M103" s="123"/>
      <c r="O103" s="8"/>
      <c r="P103" s="8"/>
      <c r="Q103" s="8"/>
      <c r="R103" s="8"/>
      <c r="S103" s="8"/>
      <c r="T103" s="8"/>
      <c r="U103" s="8"/>
    </row>
    <row r="104" spans="1:21" ht="13.8" thickBot="1" x14ac:dyDescent="0.3">
      <c r="B104" s="121"/>
      <c r="C104" s="121"/>
      <c r="D104" s="121"/>
      <c r="E104" s="121"/>
      <c r="F104" s="121"/>
      <c r="G104" s="121"/>
      <c r="H104" s="122"/>
      <c r="I104" s="122"/>
      <c r="J104" s="123"/>
      <c r="K104" s="123"/>
      <c r="L104" s="123"/>
      <c r="M104" s="123"/>
    </row>
    <row r="105" spans="1:21" ht="13.8" thickBot="1" x14ac:dyDescent="0.3">
      <c r="B105" s="121"/>
      <c r="C105" s="121" t="s">
        <v>469</v>
      </c>
      <c r="D105" s="123"/>
      <c r="E105" s="121"/>
      <c r="F105" s="118">
        <v>300</v>
      </c>
      <c r="G105" s="121" t="s">
        <v>21</v>
      </c>
      <c r="H105" s="99">
        <v>0.95</v>
      </c>
      <c r="I105" s="122" t="s">
        <v>6</v>
      </c>
      <c r="J105" s="234">
        <f>F105*H105</f>
        <v>285</v>
      </c>
      <c r="K105" s="121" t="s">
        <v>14</v>
      </c>
      <c r="L105" s="123"/>
      <c r="M105" s="123"/>
    </row>
    <row r="106" spans="1:21" ht="13.8" thickBot="1" x14ac:dyDescent="0.3">
      <c r="B106" s="121"/>
      <c r="C106" s="121" t="s">
        <v>409</v>
      </c>
      <c r="D106" s="123"/>
      <c r="E106" s="121"/>
      <c r="F106" s="118">
        <v>800</v>
      </c>
      <c r="G106" s="121" t="s">
        <v>21</v>
      </c>
      <c r="H106" s="99">
        <v>1</v>
      </c>
      <c r="I106" s="122" t="s">
        <v>6</v>
      </c>
      <c r="J106" s="234">
        <f t="shared" ref="J106:J108" si="9">F106*H106</f>
        <v>800</v>
      </c>
      <c r="K106" s="121" t="s">
        <v>14</v>
      </c>
      <c r="L106" s="123"/>
      <c r="M106" s="123"/>
    </row>
    <row r="107" spans="1:21" ht="13.8" thickBot="1" x14ac:dyDescent="0.3">
      <c r="B107" s="121"/>
      <c r="C107" s="121" t="s">
        <v>410</v>
      </c>
      <c r="D107" s="121"/>
      <c r="E107" s="121"/>
      <c r="F107" s="96"/>
      <c r="G107" s="121" t="s">
        <v>21</v>
      </c>
      <c r="H107" s="99"/>
      <c r="I107" s="122" t="s">
        <v>6</v>
      </c>
      <c r="J107" s="234">
        <f t="shared" si="9"/>
        <v>0</v>
      </c>
      <c r="K107" s="121" t="s">
        <v>14</v>
      </c>
      <c r="L107" s="123"/>
      <c r="M107" s="123"/>
    </row>
    <row r="108" spans="1:21" ht="13.8" thickBot="1" x14ac:dyDescent="0.3">
      <c r="B108" s="121"/>
      <c r="C108" s="121" t="s">
        <v>410</v>
      </c>
      <c r="D108" s="121"/>
      <c r="E108" s="121"/>
      <c r="F108" s="96"/>
      <c r="G108" s="121" t="s">
        <v>21</v>
      </c>
      <c r="H108" s="98"/>
      <c r="I108" s="122" t="s">
        <v>6</v>
      </c>
      <c r="J108" s="234">
        <f t="shared" si="9"/>
        <v>0</v>
      </c>
      <c r="K108" s="121" t="s">
        <v>14</v>
      </c>
      <c r="L108" s="123"/>
      <c r="M108" s="123"/>
    </row>
    <row r="109" spans="1:21" s="8" customFormat="1" x14ac:dyDescent="0.25">
      <c r="A109" s="244"/>
      <c r="B109" s="270"/>
      <c r="C109" s="270" t="s">
        <v>196</v>
      </c>
      <c r="D109" s="270"/>
      <c r="E109" s="270"/>
      <c r="F109" s="274"/>
      <c r="G109" s="270"/>
      <c r="H109" s="275"/>
      <c r="I109" s="271"/>
      <c r="J109" s="276">
        <f>SUM(J105:J108)</f>
        <v>1085</v>
      </c>
      <c r="K109" s="270" t="s">
        <v>14</v>
      </c>
      <c r="L109" s="270"/>
      <c r="M109" s="270"/>
      <c r="N109"/>
      <c r="O109"/>
      <c r="P109"/>
      <c r="Q109"/>
      <c r="R109"/>
      <c r="S109"/>
      <c r="T109"/>
      <c r="U109"/>
    </row>
    <row r="110" spans="1:21" x14ac:dyDescent="0.25">
      <c r="B110" s="121"/>
      <c r="C110" s="121"/>
      <c r="D110" s="121"/>
      <c r="E110" s="121"/>
      <c r="F110" s="121"/>
      <c r="G110" s="121"/>
      <c r="H110" s="122"/>
      <c r="I110" s="122"/>
      <c r="J110" s="123"/>
      <c r="K110" s="123"/>
      <c r="L110" s="123"/>
      <c r="M110" s="123"/>
    </row>
    <row r="111" spans="1:21" ht="33" customHeight="1" x14ac:dyDescent="0.25">
      <c r="B111" s="24"/>
      <c r="C111" s="24"/>
      <c r="D111" s="24"/>
      <c r="E111" s="24"/>
      <c r="F111" s="24"/>
      <c r="G111" s="24"/>
      <c r="H111" s="62"/>
      <c r="I111" s="62"/>
      <c r="N111" s="8"/>
    </row>
    <row r="112" spans="1:21" ht="15.6" x14ac:dyDescent="0.3">
      <c r="B112" s="109" t="s">
        <v>411</v>
      </c>
      <c r="C112" s="72"/>
      <c r="D112" s="72"/>
      <c r="E112" s="72"/>
      <c r="F112" s="957" t="s">
        <v>159</v>
      </c>
      <c r="G112" s="957"/>
      <c r="H112" s="958" t="s">
        <v>158</v>
      </c>
      <c r="I112" s="958"/>
      <c r="J112" s="957" t="s">
        <v>273</v>
      </c>
      <c r="K112" s="957"/>
      <c r="L112" s="79"/>
      <c r="M112" s="79"/>
      <c r="O112" s="8"/>
      <c r="P112" s="8"/>
      <c r="Q112" s="8"/>
      <c r="R112" s="8"/>
      <c r="S112" s="8"/>
      <c r="T112" s="8"/>
      <c r="U112" s="8"/>
    </row>
    <row r="113" spans="1:21" ht="15.6" x14ac:dyDescent="0.3">
      <c r="B113" s="109"/>
      <c r="C113" s="72"/>
      <c r="D113" s="854" t="s">
        <v>364</v>
      </c>
      <c r="E113" s="72"/>
      <c r="F113" s="80"/>
      <c r="G113" s="80"/>
      <c r="H113" s="81"/>
      <c r="I113" s="81"/>
      <c r="J113" s="80"/>
      <c r="K113" s="80"/>
      <c r="L113" s="79"/>
      <c r="M113" s="79"/>
    </row>
    <row r="114" spans="1:21" ht="13.8" thickBot="1" x14ac:dyDescent="0.3">
      <c r="B114" s="214" t="s">
        <v>357</v>
      </c>
      <c r="C114" s="72"/>
      <c r="D114" s="72"/>
      <c r="E114" s="72"/>
      <c r="F114" s="74"/>
      <c r="G114" s="74"/>
      <c r="H114" s="73"/>
      <c r="I114" s="73"/>
      <c r="J114" s="79"/>
      <c r="K114" s="79"/>
      <c r="L114" s="79"/>
      <c r="M114" s="79"/>
    </row>
    <row r="115" spans="1:21" ht="13.8" thickBot="1" x14ac:dyDescent="0.3">
      <c r="B115" s="72"/>
      <c r="C115" s="72" t="s">
        <v>413</v>
      </c>
      <c r="D115" s="79"/>
      <c r="E115" s="72"/>
      <c r="F115" s="119">
        <v>4</v>
      </c>
      <c r="G115" s="74" t="s">
        <v>20</v>
      </c>
      <c r="H115" s="99">
        <v>4.5</v>
      </c>
      <c r="I115" s="73" t="s">
        <v>5</v>
      </c>
      <c r="J115" s="79">
        <f>F115*H115</f>
        <v>18</v>
      </c>
      <c r="K115" s="72" t="s">
        <v>14</v>
      </c>
      <c r="L115" s="79"/>
      <c r="M115" s="79"/>
    </row>
    <row r="116" spans="1:21" ht="13.8" thickBot="1" x14ac:dyDescent="0.3">
      <c r="B116" s="72"/>
      <c r="C116" s="72" t="s">
        <v>326</v>
      </c>
      <c r="D116" s="72"/>
      <c r="E116" s="72"/>
      <c r="F116" s="119"/>
      <c r="G116" s="74" t="s">
        <v>20</v>
      </c>
      <c r="H116" s="99"/>
      <c r="I116" s="73" t="s">
        <v>5</v>
      </c>
      <c r="J116" s="79">
        <f t="shared" ref="J116:J117" si="10">F116*H116</f>
        <v>0</v>
      </c>
      <c r="K116" s="72" t="s">
        <v>14</v>
      </c>
      <c r="L116" s="79"/>
      <c r="M116" s="79"/>
    </row>
    <row r="117" spans="1:21" ht="13.8" thickBot="1" x14ac:dyDescent="0.3">
      <c r="B117" s="72"/>
      <c r="C117" s="72" t="s">
        <v>326</v>
      </c>
      <c r="D117" s="72"/>
      <c r="E117" s="72"/>
      <c r="F117" s="119"/>
      <c r="G117" s="74" t="s">
        <v>20</v>
      </c>
      <c r="H117" s="99"/>
      <c r="I117" s="73" t="s">
        <v>5</v>
      </c>
      <c r="J117" s="79">
        <f t="shared" si="10"/>
        <v>0</v>
      </c>
      <c r="K117" s="72" t="s">
        <v>14</v>
      </c>
      <c r="L117" s="79"/>
      <c r="M117" s="79"/>
    </row>
    <row r="118" spans="1:21" x14ac:dyDescent="0.25">
      <c r="B118" s="72"/>
      <c r="C118" s="72"/>
      <c r="D118" s="72"/>
      <c r="E118" s="72"/>
      <c r="F118" s="212"/>
      <c r="G118" s="74"/>
      <c r="H118" s="213"/>
      <c r="I118" s="73"/>
      <c r="J118" s="79"/>
      <c r="K118" s="72"/>
      <c r="L118" s="79"/>
      <c r="M118" s="79"/>
    </row>
    <row r="119" spans="1:21" ht="13.8" thickBot="1" x14ac:dyDescent="0.3">
      <c r="B119" s="214" t="s">
        <v>412</v>
      </c>
      <c r="C119" s="72"/>
      <c r="D119" s="72"/>
      <c r="E119" s="72"/>
      <c r="F119" s="212"/>
      <c r="G119" s="74"/>
      <c r="H119" s="213"/>
      <c r="I119" s="73"/>
      <c r="J119" s="79"/>
      <c r="K119" s="72"/>
      <c r="L119" s="79"/>
      <c r="M119" s="79"/>
    </row>
    <row r="120" spans="1:21" ht="13.8" thickBot="1" x14ac:dyDescent="0.3">
      <c r="B120" s="72"/>
      <c r="C120" s="72"/>
      <c r="D120" s="72"/>
      <c r="E120" s="72"/>
      <c r="F120" s="119"/>
      <c r="G120" s="74"/>
      <c r="H120" s="119"/>
      <c r="I120" s="73"/>
      <c r="J120" s="79"/>
      <c r="K120" s="72" t="s">
        <v>14</v>
      </c>
      <c r="L120" s="79"/>
      <c r="M120" s="79"/>
    </row>
    <row r="121" spans="1:21" ht="13.8" thickBot="1" x14ac:dyDescent="0.3">
      <c r="B121" s="72"/>
      <c r="C121" s="72"/>
      <c r="D121" s="72"/>
      <c r="E121" s="72"/>
      <c r="F121" s="119"/>
      <c r="G121" s="74"/>
      <c r="H121" s="119"/>
      <c r="I121" s="73"/>
      <c r="J121" s="79"/>
      <c r="K121" s="72" t="s">
        <v>14</v>
      </c>
      <c r="L121" s="79"/>
      <c r="M121" s="79"/>
    </row>
    <row r="122" spans="1:21" ht="13.8" thickBot="1" x14ac:dyDescent="0.3">
      <c r="B122" s="72"/>
      <c r="C122" s="72"/>
      <c r="D122" s="72"/>
      <c r="E122" s="72"/>
      <c r="F122" s="119"/>
      <c r="G122" s="74"/>
      <c r="H122" s="119"/>
      <c r="I122" s="73"/>
      <c r="J122" s="79"/>
      <c r="K122" s="72" t="s">
        <v>14</v>
      </c>
      <c r="L122" s="79"/>
      <c r="M122" s="79"/>
    </row>
    <row r="123" spans="1:21" ht="13.8" thickBot="1" x14ac:dyDescent="0.3">
      <c r="B123" s="72"/>
      <c r="C123" s="72"/>
      <c r="D123" s="72"/>
      <c r="E123" s="72"/>
      <c r="F123" s="119"/>
      <c r="G123" s="74"/>
      <c r="H123" s="119"/>
      <c r="I123" s="73"/>
      <c r="J123" s="79"/>
      <c r="K123" s="72" t="s">
        <v>14</v>
      </c>
      <c r="L123" s="79"/>
      <c r="M123" s="79"/>
    </row>
    <row r="124" spans="1:21" s="8" customFormat="1" x14ac:dyDescent="0.25">
      <c r="A124" s="244"/>
      <c r="B124" s="241"/>
      <c r="C124" s="241" t="s">
        <v>196</v>
      </c>
      <c r="D124" s="241"/>
      <c r="E124" s="241"/>
      <c r="F124" s="273"/>
      <c r="G124" s="242"/>
      <c r="H124" s="273"/>
      <c r="I124" s="243"/>
      <c r="J124" s="241">
        <f>SUM(J115:J123)</f>
        <v>18</v>
      </c>
      <c r="K124" s="241" t="s">
        <v>14</v>
      </c>
      <c r="L124" s="241"/>
      <c r="M124" s="241"/>
      <c r="N124"/>
      <c r="O124"/>
      <c r="P124"/>
      <c r="Q124"/>
      <c r="R124"/>
      <c r="S124"/>
      <c r="T124"/>
      <c r="U124"/>
    </row>
    <row r="125" spans="1:21" x14ac:dyDescent="0.25">
      <c r="B125" s="72"/>
      <c r="C125" s="72"/>
      <c r="D125" s="72"/>
      <c r="E125" s="72"/>
      <c r="F125" s="74"/>
      <c r="G125" s="74"/>
      <c r="H125" s="73"/>
      <c r="I125" s="73"/>
      <c r="J125" s="79"/>
      <c r="K125" s="72"/>
      <c r="L125" s="79"/>
      <c r="M125" s="79"/>
    </row>
    <row r="126" spans="1:21" s="5" customFormat="1" ht="30" customHeight="1" x14ac:dyDescent="0.25">
      <c r="B126" s="49"/>
      <c r="C126" s="49"/>
      <c r="D126" s="49"/>
      <c r="E126" s="49"/>
      <c r="F126" s="61"/>
      <c r="G126" s="61"/>
      <c r="H126" s="23"/>
      <c r="I126" s="23"/>
      <c r="K126" s="49"/>
      <c r="N126" s="8"/>
      <c r="O126"/>
      <c r="P126"/>
      <c r="Q126"/>
      <c r="R126"/>
      <c r="S126"/>
      <c r="T126"/>
      <c r="U126"/>
    </row>
    <row r="127" spans="1:21" ht="15.6" x14ac:dyDescent="0.3">
      <c r="B127" s="219" t="s">
        <v>414</v>
      </c>
      <c r="C127" s="220"/>
      <c r="D127" s="220"/>
      <c r="E127" s="220"/>
      <c r="F127" s="964" t="s">
        <v>159</v>
      </c>
      <c r="G127" s="964"/>
      <c r="H127" s="964" t="s">
        <v>158</v>
      </c>
      <c r="I127" s="964"/>
      <c r="J127" s="964" t="s">
        <v>273</v>
      </c>
      <c r="K127" s="964"/>
      <c r="L127" s="222"/>
      <c r="M127" s="222"/>
      <c r="O127" s="8"/>
      <c r="P127" s="8"/>
      <c r="Q127" s="8"/>
      <c r="R127" s="8"/>
      <c r="S127" s="8"/>
      <c r="T127" s="8"/>
      <c r="U127" s="8"/>
    </row>
    <row r="128" spans="1:21" ht="13.8" thickBot="1" x14ac:dyDescent="0.3">
      <c r="B128" s="220"/>
      <c r="C128" s="220"/>
      <c r="D128" s="220"/>
      <c r="E128" s="220"/>
      <c r="F128" s="220"/>
      <c r="G128" s="220"/>
      <c r="H128" s="221"/>
      <c r="I128" s="221"/>
      <c r="J128" s="222"/>
      <c r="K128" s="222"/>
      <c r="L128" s="222"/>
      <c r="M128" s="222"/>
      <c r="N128" s="5"/>
    </row>
    <row r="129" spans="1:21" ht="13.8" thickBot="1" x14ac:dyDescent="0.3">
      <c r="B129" s="220"/>
      <c r="C129" s="220" t="s">
        <v>307</v>
      </c>
      <c r="D129" s="222"/>
      <c r="E129" s="220"/>
      <c r="F129" s="96">
        <v>1</v>
      </c>
      <c r="G129" s="220" t="s">
        <v>0</v>
      </c>
      <c r="H129" s="99">
        <v>73</v>
      </c>
      <c r="I129" s="221" t="s">
        <v>14</v>
      </c>
      <c r="J129" s="223">
        <f t="shared" ref="J129:J131" si="11">F129*H129</f>
        <v>73</v>
      </c>
      <c r="K129" s="220" t="s">
        <v>14</v>
      </c>
      <c r="L129" s="222"/>
      <c r="M129" s="222"/>
      <c r="O129" s="5"/>
      <c r="P129" s="5"/>
      <c r="Q129" s="5"/>
      <c r="R129" s="5"/>
      <c r="S129" s="5"/>
      <c r="T129" s="5"/>
      <c r="U129" s="5"/>
    </row>
    <row r="130" spans="1:21" ht="13.8" thickBot="1" x14ac:dyDescent="0.3">
      <c r="B130" s="220"/>
      <c r="C130" s="220" t="s">
        <v>292</v>
      </c>
      <c r="D130" s="220"/>
      <c r="E130" s="220"/>
      <c r="F130" s="96"/>
      <c r="G130" s="220" t="s">
        <v>0</v>
      </c>
      <c r="H130" s="99"/>
      <c r="I130" s="221" t="s">
        <v>14</v>
      </c>
      <c r="J130" s="223">
        <f t="shared" si="11"/>
        <v>0</v>
      </c>
      <c r="K130" s="220" t="s">
        <v>14</v>
      </c>
      <c r="L130" s="222"/>
      <c r="M130" s="222"/>
    </row>
    <row r="131" spans="1:21" ht="13.8" thickBot="1" x14ac:dyDescent="0.3">
      <c r="B131" s="220"/>
      <c r="C131" s="220" t="s">
        <v>292</v>
      </c>
      <c r="D131" s="220"/>
      <c r="E131" s="220"/>
      <c r="F131" s="96"/>
      <c r="G131" s="220" t="s">
        <v>0</v>
      </c>
      <c r="H131" s="99"/>
      <c r="I131" s="221" t="s">
        <v>14</v>
      </c>
      <c r="J131" s="223">
        <f t="shared" si="11"/>
        <v>0</v>
      </c>
      <c r="K131" s="220" t="s">
        <v>14</v>
      </c>
      <c r="L131" s="222"/>
      <c r="M131" s="222"/>
    </row>
    <row r="132" spans="1:21" s="8" customFormat="1" x14ac:dyDescent="0.25">
      <c r="A132" s="244"/>
      <c r="B132" s="255"/>
      <c r="C132" s="255" t="s">
        <v>196</v>
      </c>
      <c r="D132" s="255"/>
      <c r="E132" s="255"/>
      <c r="F132" s="256"/>
      <c r="G132" s="255"/>
      <c r="H132" s="257"/>
      <c r="I132" s="258"/>
      <c r="J132" s="259">
        <f>SUM(J129:J131)</f>
        <v>73</v>
      </c>
      <c r="K132" s="255" t="s">
        <v>14</v>
      </c>
      <c r="L132" s="255"/>
      <c r="M132" s="255"/>
      <c r="N132"/>
      <c r="O132"/>
      <c r="P132"/>
      <c r="Q132"/>
      <c r="R132"/>
      <c r="S132"/>
      <c r="T132"/>
      <c r="U132"/>
    </row>
    <row r="133" spans="1:21" x14ac:dyDescent="0.25">
      <c r="B133" s="220"/>
      <c r="C133" s="220"/>
      <c r="D133" s="220"/>
      <c r="E133" s="220"/>
      <c r="F133" s="220"/>
      <c r="G133" s="220"/>
      <c r="H133" s="221"/>
      <c r="I133" s="221"/>
      <c r="J133" s="223"/>
      <c r="K133" s="220"/>
      <c r="L133" s="222"/>
      <c r="M133" s="222"/>
    </row>
    <row r="134" spans="1:21" ht="33" customHeight="1" x14ac:dyDescent="0.25">
      <c r="N134" s="8"/>
    </row>
    <row r="135" spans="1:21" ht="16.2" thickBot="1" x14ac:dyDescent="0.35">
      <c r="B135" s="225" t="s">
        <v>415</v>
      </c>
      <c r="C135" s="226"/>
      <c r="D135" s="226"/>
      <c r="E135" s="227"/>
      <c r="F135" s="226"/>
      <c r="G135" s="228"/>
      <c r="H135" s="228"/>
      <c r="I135" s="226"/>
      <c r="J135" s="226"/>
      <c r="K135" s="229"/>
      <c r="L135" s="229"/>
      <c r="M135" s="229"/>
      <c r="O135" s="8"/>
      <c r="P135" s="8"/>
      <c r="Q135" s="8"/>
      <c r="R135" s="8"/>
      <c r="S135" s="8"/>
      <c r="T135" s="8"/>
      <c r="U135" s="8"/>
    </row>
    <row r="136" spans="1:21" ht="13.8" thickBot="1" x14ac:dyDescent="0.3">
      <c r="B136" s="226"/>
      <c r="C136" s="226" t="s">
        <v>296</v>
      </c>
      <c r="D136" s="229"/>
      <c r="E136" s="230"/>
      <c r="F136" s="96">
        <v>0</v>
      </c>
      <c r="G136" s="231" t="s">
        <v>10</v>
      </c>
      <c r="H136" s="96">
        <v>1000</v>
      </c>
      <c r="I136" s="232" t="s">
        <v>18</v>
      </c>
      <c r="J136" s="229">
        <f>F136*H136</f>
        <v>0</v>
      </c>
      <c r="K136" s="232" t="s">
        <v>14</v>
      </c>
      <c r="L136" s="229"/>
      <c r="M136" s="229"/>
    </row>
    <row r="137" spans="1:21" ht="13.8" thickBot="1" x14ac:dyDescent="0.3">
      <c r="B137" s="226"/>
      <c r="C137" s="226" t="s">
        <v>297</v>
      </c>
      <c r="D137" s="232">
        <f>F172/2</f>
        <v>57.25</v>
      </c>
      <c r="E137" s="226" t="s">
        <v>9</v>
      </c>
      <c r="F137" s="96">
        <v>1.5</v>
      </c>
      <c r="G137" s="228" t="s">
        <v>5</v>
      </c>
      <c r="H137" s="96">
        <v>50</v>
      </c>
      <c r="I137" s="232" t="s">
        <v>20</v>
      </c>
      <c r="J137" s="229">
        <f t="shared" ref="J137:J141" si="12">F137*H137</f>
        <v>75</v>
      </c>
      <c r="K137" s="232" t="s">
        <v>14</v>
      </c>
      <c r="L137" s="229"/>
      <c r="M137" s="229"/>
    </row>
    <row r="138" spans="1:21" ht="13.8" thickBot="1" x14ac:dyDescent="0.3">
      <c r="B138" s="226"/>
      <c r="C138" s="226" t="s">
        <v>298</v>
      </c>
      <c r="D138" s="232">
        <f>D137</f>
        <v>57.25</v>
      </c>
      <c r="E138" s="226" t="s">
        <v>9</v>
      </c>
      <c r="F138" s="96">
        <v>1</v>
      </c>
      <c r="G138" s="228" t="s">
        <v>6</v>
      </c>
      <c r="H138" s="96">
        <v>400</v>
      </c>
      <c r="I138" s="232" t="s">
        <v>21</v>
      </c>
      <c r="J138" s="229">
        <f t="shared" si="12"/>
        <v>400</v>
      </c>
      <c r="K138" s="232" t="s">
        <v>14</v>
      </c>
      <c r="L138" s="229"/>
      <c r="M138" s="229"/>
    </row>
    <row r="139" spans="1:21" ht="13.8" thickBot="1" x14ac:dyDescent="0.3">
      <c r="B139" s="226"/>
      <c r="C139" s="226" t="s">
        <v>19</v>
      </c>
      <c r="D139" s="229"/>
      <c r="E139" s="232"/>
      <c r="F139" s="96">
        <v>0</v>
      </c>
      <c r="G139" s="228" t="s">
        <v>5</v>
      </c>
      <c r="H139" s="96">
        <v>200</v>
      </c>
      <c r="I139" s="232" t="s">
        <v>20</v>
      </c>
      <c r="J139" s="229">
        <f t="shared" si="12"/>
        <v>0</v>
      </c>
      <c r="K139" s="232" t="s">
        <v>14</v>
      </c>
      <c r="L139" s="229"/>
      <c r="M139" s="229"/>
    </row>
    <row r="140" spans="1:21" ht="13.8" thickBot="1" x14ac:dyDescent="0.3">
      <c r="B140" s="226"/>
      <c r="C140" s="226" t="s">
        <v>299</v>
      </c>
      <c r="D140" s="229"/>
      <c r="E140" s="232"/>
      <c r="F140" s="96">
        <v>0</v>
      </c>
      <c r="G140" s="228" t="s">
        <v>5</v>
      </c>
      <c r="H140" s="96">
        <v>80</v>
      </c>
      <c r="I140" s="232" t="s">
        <v>20</v>
      </c>
      <c r="J140" s="229">
        <f t="shared" si="12"/>
        <v>0</v>
      </c>
      <c r="K140" s="232" t="s">
        <v>14</v>
      </c>
      <c r="L140" s="229"/>
      <c r="M140" s="229"/>
    </row>
    <row r="141" spans="1:21" ht="13.8" thickBot="1" x14ac:dyDescent="0.3">
      <c r="B141" s="229"/>
      <c r="C141" s="226" t="s">
        <v>416</v>
      </c>
      <c r="D141" s="229"/>
      <c r="E141" s="229"/>
      <c r="F141" s="96"/>
      <c r="G141" s="229"/>
      <c r="H141" s="96"/>
      <c r="I141" s="229"/>
      <c r="J141" s="229">
        <f t="shared" si="12"/>
        <v>0</v>
      </c>
      <c r="K141" s="232" t="s">
        <v>14</v>
      </c>
      <c r="L141" s="229"/>
      <c r="M141" s="229"/>
    </row>
    <row r="142" spans="1:21" s="8" customFormat="1" x14ac:dyDescent="0.25">
      <c r="A142" s="244"/>
      <c r="B142" s="260"/>
      <c r="C142" s="260" t="s">
        <v>196</v>
      </c>
      <c r="D142" s="260"/>
      <c r="E142" s="260"/>
      <c r="F142" s="261"/>
      <c r="G142" s="260"/>
      <c r="H142" s="261"/>
      <c r="I142" s="260"/>
      <c r="J142" s="260">
        <f>SUM(J136:J141)</f>
        <v>475</v>
      </c>
      <c r="K142" s="262" t="s">
        <v>14</v>
      </c>
      <c r="L142" s="260"/>
      <c r="M142" s="260"/>
      <c r="N142"/>
      <c r="O142"/>
      <c r="P142"/>
      <c r="Q142"/>
      <c r="R142"/>
      <c r="S142"/>
      <c r="T142"/>
      <c r="U142"/>
    </row>
    <row r="143" spans="1:21" x14ac:dyDescent="0.25">
      <c r="B143" s="229"/>
      <c r="C143" s="229"/>
      <c r="D143" s="229"/>
      <c r="E143" s="229"/>
      <c r="F143" s="229"/>
      <c r="G143" s="229"/>
      <c r="H143" s="229"/>
      <c r="I143" s="229"/>
      <c r="J143" s="229"/>
      <c r="K143" s="229"/>
      <c r="L143" s="229"/>
      <c r="M143" s="229"/>
    </row>
    <row r="144" spans="1:21" ht="34.950000000000003" customHeight="1" x14ac:dyDescent="0.25">
      <c r="N144" s="8"/>
    </row>
    <row r="145" spans="2:21" ht="22.05" customHeight="1" x14ac:dyDescent="0.3">
      <c r="B145" s="112" t="s">
        <v>417</v>
      </c>
      <c r="C145" s="101"/>
      <c r="D145" s="101"/>
      <c r="E145" s="101"/>
      <c r="F145" s="101"/>
      <c r="G145" s="101"/>
      <c r="H145" s="101"/>
      <c r="I145" s="101"/>
      <c r="J145" s="101"/>
      <c r="K145" s="101"/>
      <c r="L145" s="101"/>
      <c r="M145" s="101"/>
      <c r="O145" s="8"/>
      <c r="P145" s="8"/>
      <c r="Q145" s="8"/>
      <c r="R145" s="8"/>
      <c r="S145" s="8"/>
      <c r="T145" s="8"/>
      <c r="U145" s="8"/>
    </row>
    <row r="146" spans="2:21" ht="22.05" customHeight="1" x14ac:dyDescent="0.3">
      <c r="B146" s="112"/>
      <c r="C146" s="101"/>
      <c r="D146" s="101"/>
      <c r="E146" s="101"/>
      <c r="F146" s="101"/>
      <c r="G146" s="101"/>
      <c r="H146" s="101"/>
      <c r="I146" s="101"/>
      <c r="J146" s="101"/>
      <c r="K146" s="101"/>
      <c r="L146" s="101"/>
      <c r="M146" s="101"/>
    </row>
    <row r="147" spans="2:21" ht="49.95" customHeight="1" x14ac:dyDescent="0.25">
      <c r="B147" s="969" t="s">
        <v>302</v>
      </c>
      <c r="C147" s="969"/>
      <c r="D147" s="969"/>
      <c r="E147" s="969"/>
      <c r="F147" s="969"/>
      <c r="G147" s="969"/>
      <c r="H147" s="969"/>
      <c r="I147" s="969"/>
      <c r="J147" s="969"/>
      <c r="K147" s="969"/>
      <c r="L147" s="969"/>
      <c r="M147" s="969"/>
    </row>
    <row r="148" spans="2:21" ht="22.05" customHeight="1" x14ac:dyDescent="0.3">
      <c r="B148" s="112"/>
      <c r="C148" s="101"/>
      <c r="D148" s="101"/>
      <c r="E148" s="105"/>
      <c r="F148" s="105"/>
      <c r="G148" s="105"/>
      <c r="H148" s="106"/>
      <c r="I148" s="106"/>
      <c r="J148" s="105"/>
      <c r="K148" s="105"/>
      <c r="L148" s="106"/>
      <c r="M148" s="106"/>
    </row>
    <row r="149" spans="2:21" ht="22.05" customHeight="1" x14ac:dyDescent="0.3">
      <c r="B149" s="112"/>
      <c r="C149" s="101"/>
      <c r="D149" s="101"/>
      <c r="E149" s="962" t="s">
        <v>303</v>
      </c>
      <c r="F149" s="962"/>
      <c r="G149" s="962"/>
      <c r="H149" s="963" t="s">
        <v>158</v>
      </c>
      <c r="I149" s="963"/>
      <c r="J149" s="963" t="s">
        <v>304</v>
      </c>
      <c r="K149" s="963"/>
      <c r="L149" s="963" t="s">
        <v>158</v>
      </c>
      <c r="M149" s="963"/>
    </row>
    <row r="150" spans="2:21" ht="10.95" customHeight="1" thickBot="1" x14ac:dyDescent="0.3">
      <c r="B150" s="100"/>
      <c r="C150" s="101"/>
      <c r="D150" s="101"/>
      <c r="E150" s="101"/>
      <c r="F150" s="101"/>
      <c r="G150" s="101"/>
      <c r="H150" s="101"/>
      <c r="I150" s="101"/>
      <c r="J150" s="101"/>
      <c r="K150" s="101"/>
      <c r="L150" s="101"/>
      <c r="M150" s="101"/>
    </row>
    <row r="151" spans="2:21" ht="13.8" thickBot="1" x14ac:dyDescent="0.3">
      <c r="B151" s="101"/>
      <c r="C151" s="102" t="s">
        <v>322</v>
      </c>
      <c r="D151" s="101"/>
      <c r="E151" s="101"/>
      <c r="F151" s="115">
        <v>2.5</v>
      </c>
      <c r="G151" s="104" t="s">
        <v>22</v>
      </c>
      <c r="H151" s="117">
        <v>14.5</v>
      </c>
      <c r="I151" s="104" t="s">
        <v>11</v>
      </c>
      <c r="J151" s="116"/>
      <c r="K151" s="104" t="s">
        <v>22</v>
      </c>
      <c r="L151" s="117">
        <v>14.5</v>
      </c>
      <c r="M151" s="104" t="s">
        <v>11</v>
      </c>
    </row>
    <row r="152" spans="2:21" ht="13.8" thickBot="1" x14ac:dyDescent="0.3">
      <c r="B152" s="101"/>
      <c r="C152" s="102" t="s">
        <v>418</v>
      </c>
      <c r="D152" s="101"/>
      <c r="E152" s="101"/>
      <c r="F152" s="115">
        <v>2</v>
      </c>
      <c r="G152" s="104" t="s">
        <v>22</v>
      </c>
      <c r="H152" s="114">
        <f>$H$151</f>
        <v>14.5</v>
      </c>
      <c r="I152" s="104" t="s">
        <v>11</v>
      </c>
      <c r="J152" s="116"/>
      <c r="K152" s="104" t="s">
        <v>22</v>
      </c>
      <c r="L152" s="114">
        <f>$L$151</f>
        <v>14.5</v>
      </c>
      <c r="M152" s="104" t="s">
        <v>11</v>
      </c>
    </row>
    <row r="153" spans="2:21" ht="13.8" thickBot="1" x14ac:dyDescent="0.3">
      <c r="B153" s="101"/>
      <c r="C153" s="102" t="s">
        <v>419</v>
      </c>
      <c r="D153" s="101"/>
      <c r="E153" s="101"/>
      <c r="F153" s="115">
        <v>1</v>
      </c>
      <c r="G153" s="104" t="s">
        <v>22</v>
      </c>
      <c r="H153" s="114">
        <f t="shared" ref="H153:H171" si="13">$H$151</f>
        <v>14.5</v>
      </c>
      <c r="I153" s="104" t="s">
        <v>11</v>
      </c>
      <c r="J153" s="116"/>
      <c r="K153" s="104" t="s">
        <v>22</v>
      </c>
      <c r="L153" s="114">
        <f t="shared" ref="L153:L171" si="14">$L$151</f>
        <v>14.5</v>
      </c>
      <c r="M153" s="104" t="s">
        <v>11</v>
      </c>
    </row>
    <row r="154" spans="2:21" ht="13.8" thickBot="1" x14ac:dyDescent="0.3">
      <c r="B154" s="101"/>
      <c r="C154" s="102" t="s">
        <v>420</v>
      </c>
      <c r="D154" s="101"/>
      <c r="E154" s="101"/>
      <c r="F154" s="115">
        <v>10</v>
      </c>
      <c r="G154" s="104" t="s">
        <v>22</v>
      </c>
      <c r="H154" s="114">
        <f t="shared" si="13"/>
        <v>14.5</v>
      </c>
      <c r="I154" s="104" t="s">
        <v>11</v>
      </c>
      <c r="J154" s="116"/>
      <c r="K154" s="104" t="s">
        <v>22</v>
      </c>
      <c r="L154" s="114">
        <f t="shared" si="14"/>
        <v>14.5</v>
      </c>
      <c r="M154" s="104" t="s">
        <v>11</v>
      </c>
    </row>
    <row r="155" spans="2:21" ht="13.8" thickBot="1" x14ac:dyDescent="0.3">
      <c r="B155" s="101"/>
      <c r="C155" s="102" t="s">
        <v>421</v>
      </c>
      <c r="D155" s="101"/>
      <c r="E155" s="101"/>
      <c r="F155" s="115">
        <v>22</v>
      </c>
      <c r="G155" s="104" t="s">
        <v>22</v>
      </c>
      <c r="H155" s="114">
        <f t="shared" si="13"/>
        <v>14.5</v>
      </c>
      <c r="I155" s="104" t="s">
        <v>11</v>
      </c>
      <c r="J155" s="116">
        <v>32</v>
      </c>
      <c r="K155" s="104" t="s">
        <v>22</v>
      </c>
      <c r="L155" s="114">
        <f t="shared" si="14"/>
        <v>14.5</v>
      </c>
      <c r="M155" s="104" t="s">
        <v>11</v>
      </c>
    </row>
    <row r="156" spans="2:21" ht="13.8" thickBot="1" x14ac:dyDescent="0.3">
      <c r="B156" s="101"/>
      <c r="C156" s="102" t="s">
        <v>422</v>
      </c>
      <c r="D156" s="101"/>
      <c r="E156" s="101"/>
      <c r="F156" s="115">
        <v>2</v>
      </c>
      <c r="G156" s="104" t="s">
        <v>22</v>
      </c>
      <c r="H156" s="114">
        <f t="shared" si="13"/>
        <v>14.5</v>
      </c>
      <c r="I156" s="104" t="s">
        <v>11</v>
      </c>
      <c r="J156" s="116"/>
      <c r="K156" s="104" t="s">
        <v>22</v>
      </c>
      <c r="L156" s="114">
        <f t="shared" si="14"/>
        <v>14.5</v>
      </c>
      <c r="M156" s="104" t="s">
        <v>11</v>
      </c>
    </row>
    <row r="157" spans="2:21" ht="13.8" thickBot="1" x14ac:dyDescent="0.3">
      <c r="B157" s="101"/>
      <c r="C157" s="102" t="s">
        <v>423</v>
      </c>
      <c r="D157" s="101"/>
      <c r="E157" s="101"/>
      <c r="F157" s="115">
        <v>8</v>
      </c>
      <c r="G157" s="104" t="s">
        <v>22</v>
      </c>
      <c r="H157" s="114">
        <f t="shared" si="13"/>
        <v>14.5</v>
      </c>
      <c r="I157" s="104" t="s">
        <v>11</v>
      </c>
      <c r="J157" s="116"/>
      <c r="K157" s="104" t="s">
        <v>22</v>
      </c>
      <c r="L157" s="114">
        <f t="shared" si="14"/>
        <v>14.5</v>
      </c>
      <c r="M157" s="104" t="s">
        <v>11</v>
      </c>
    </row>
    <row r="158" spans="2:21" ht="13.8" thickBot="1" x14ac:dyDescent="0.3">
      <c r="B158" s="101"/>
      <c r="C158" s="102" t="s">
        <v>424</v>
      </c>
      <c r="D158" s="101"/>
      <c r="E158" s="101"/>
      <c r="F158" s="115">
        <v>16</v>
      </c>
      <c r="G158" s="104" t="s">
        <v>22</v>
      </c>
      <c r="H158" s="114">
        <f t="shared" si="13"/>
        <v>14.5</v>
      </c>
      <c r="I158" s="104" t="s">
        <v>11</v>
      </c>
      <c r="J158" s="116"/>
      <c r="K158" s="104" t="s">
        <v>22</v>
      </c>
      <c r="L158" s="114">
        <f t="shared" si="14"/>
        <v>14.5</v>
      </c>
      <c r="M158" s="104" t="s">
        <v>11</v>
      </c>
    </row>
    <row r="159" spans="2:21" ht="13.8" thickBot="1" x14ac:dyDescent="0.3">
      <c r="B159" s="101"/>
      <c r="C159" s="102" t="s">
        <v>425</v>
      </c>
      <c r="D159" s="101"/>
      <c r="E159" s="101"/>
      <c r="F159" s="115">
        <v>16</v>
      </c>
      <c r="G159" s="104" t="s">
        <v>22</v>
      </c>
      <c r="H159" s="114">
        <f t="shared" si="13"/>
        <v>14.5</v>
      </c>
      <c r="I159" s="104" t="s">
        <v>11</v>
      </c>
      <c r="J159" s="116"/>
      <c r="K159" s="104" t="s">
        <v>22</v>
      </c>
      <c r="L159" s="114">
        <f t="shared" si="14"/>
        <v>14.5</v>
      </c>
      <c r="M159" s="104" t="s">
        <v>11</v>
      </c>
    </row>
    <row r="160" spans="2:21" ht="13.8" thickBot="1" x14ac:dyDescent="0.3">
      <c r="B160" s="101"/>
      <c r="C160" s="102" t="s">
        <v>426</v>
      </c>
      <c r="D160" s="101"/>
      <c r="E160" s="101"/>
      <c r="F160" s="115">
        <v>0</v>
      </c>
      <c r="G160" s="104" t="s">
        <v>22</v>
      </c>
      <c r="H160" s="114">
        <f t="shared" si="13"/>
        <v>14.5</v>
      </c>
      <c r="I160" s="104" t="s">
        <v>11</v>
      </c>
      <c r="J160" s="116">
        <v>40</v>
      </c>
      <c r="K160" s="104" t="s">
        <v>22</v>
      </c>
      <c r="L160" s="114">
        <f t="shared" si="14"/>
        <v>14.5</v>
      </c>
      <c r="M160" s="104" t="s">
        <v>11</v>
      </c>
    </row>
    <row r="161" spans="1:21" ht="13.8" thickBot="1" x14ac:dyDescent="0.3">
      <c r="B161" s="101"/>
      <c r="C161" s="102" t="s">
        <v>427</v>
      </c>
      <c r="D161" s="101"/>
      <c r="E161" s="101"/>
      <c r="F161" s="115">
        <v>0</v>
      </c>
      <c r="G161" s="104" t="s">
        <v>22</v>
      </c>
      <c r="H161" s="114">
        <f t="shared" si="13"/>
        <v>14.5</v>
      </c>
      <c r="I161" s="104" t="s">
        <v>11</v>
      </c>
      <c r="J161" s="116">
        <v>100</v>
      </c>
      <c r="K161" s="104" t="s">
        <v>22</v>
      </c>
      <c r="L161" s="114">
        <f t="shared" si="14"/>
        <v>14.5</v>
      </c>
      <c r="M161" s="104" t="s">
        <v>11</v>
      </c>
    </row>
    <row r="162" spans="1:21" ht="13.8" thickBot="1" x14ac:dyDescent="0.3">
      <c r="B162" s="101"/>
      <c r="C162" s="102" t="s">
        <v>317</v>
      </c>
      <c r="D162" s="101"/>
      <c r="E162" s="101"/>
      <c r="F162" s="115">
        <v>4</v>
      </c>
      <c r="G162" s="104" t="s">
        <v>22</v>
      </c>
      <c r="H162" s="114">
        <f t="shared" si="13"/>
        <v>14.5</v>
      </c>
      <c r="I162" s="104" t="s">
        <v>11</v>
      </c>
      <c r="J162" s="116"/>
      <c r="K162" s="104" t="s">
        <v>22</v>
      </c>
      <c r="L162" s="114">
        <f t="shared" si="14"/>
        <v>14.5</v>
      </c>
      <c r="M162" s="104" t="s">
        <v>11</v>
      </c>
    </row>
    <row r="163" spans="1:21" ht="13.8" thickBot="1" x14ac:dyDescent="0.3">
      <c r="B163" s="101"/>
      <c r="C163" s="102" t="s">
        <v>132</v>
      </c>
      <c r="D163" s="101"/>
      <c r="E163" s="101"/>
      <c r="F163" s="115">
        <v>0</v>
      </c>
      <c r="G163" s="104" t="s">
        <v>22</v>
      </c>
      <c r="H163" s="114">
        <f t="shared" si="13"/>
        <v>14.5</v>
      </c>
      <c r="I163" s="104" t="s">
        <v>11</v>
      </c>
      <c r="J163" s="116">
        <v>100</v>
      </c>
      <c r="K163" s="104" t="s">
        <v>22</v>
      </c>
      <c r="L163" s="114">
        <f t="shared" si="14"/>
        <v>14.5</v>
      </c>
      <c r="M163" s="104" t="s">
        <v>11</v>
      </c>
    </row>
    <row r="164" spans="1:21" ht="13.8" thickBot="1" x14ac:dyDescent="0.3">
      <c r="B164" s="101"/>
      <c r="C164" s="102" t="s">
        <v>132</v>
      </c>
      <c r="D164" s="101"/>
      <c r="E164" s="101"/>
      <c r="F164" s="115"/>
      <c r="G164" s="104" t="s">
        <v>21</v>
      </c>
      <c r="H164" s="117">
        <v>1.5</v>
      </c>
      <c r="I164" s="104" t="s">
        <v>6</v>
      </c>
      <c r="J164" s="116"/>
      <c r="K164" s="104" t="s">
        <v>21</v>
      </c>
      <c r="L164" s="117">
        <v>1.5</v>
      </c>
      <c r="M164" s="104" t="s">
        <v>6</v>
      </c>
    </row>
    <row r="165" spans="1:21" ht="13.8" thickBot="1" x14ac:dyDescent="0.3">
      <c r="B165" s="101"/>
      <c r="C165" s="102" t="s">
        <v>428</v>
      </c>
      <c r="D165" s="101"/>
      <c r="E165" s="101"/>
      <c r="F165" s="115">
        <v>8</v>
      </c>
      <c r="G165" s="104" t="s">
        <v>22</v>
      </c>
      <c r="H165" s="114">
        <f t="shared" si="13"/>
        <v>14.5</v>
      </c>
      <c r="I165" s="104" t="s">
        <v>11</v>
      </c>
      <c r="J165" s="116"/>
      <c r="K165" s="104" t="s">
        <v>22</v>
      </c>
      <c r="L165" s="114">
        <f t="shared" si="14"/>
        <v>14.5</v>
      </c>
      <c r="M165" s="104" t="s">
        <v>11</v>
      </c>
    </row>
    <row r="166" spans="1:21" ht="13.8" thickBot="1" x14ac:dyDescent="0.3">
      <c r="B166" s="101"/>
      <c r="C166" s="102" t="s">
        <v>489</v>
      </c>
      <c r="D166" s="101"/>
      <c r="E166" s="101"/>
      <c r="F166" s="115">
        <v>3</v>
      </c>
      <c r="G166" s="104" t="s">
        <v>22</v>
      </c>
      <c r="H166" s="114">
        <f t="shared" si="13"/>
        <v>14.5</v>
      </c>
      <c r="I166" s="104" t="s">
        <v>11</v>
      </c>
      <c r="J166" s="116"/>
      <c r="K166" s="104" t="s">
        <v>22</v>
      </c>
      <c r="L166" s="114">
        <f t="shared" si="14"/>
        <v>14.5</v>
      </c>
      <c r="M166" s="104" t="s">
        <v>11</v>
      </c>
    </row>
    <row r="167" spans="1:21" ht="13.8" thickBot="1" x14ac:dyDescent="0.3">
      <c r="B167" s="101"/>
      <c r="C167" s="102" t="s">
        <v>429</v>
      </c>
      <c r="D167" s="101"/>
      <c r="E167" s="101"/>
      <c r="F167" s="116">
        <v>8</v>
      </c>
      <c r="G167" s="104" t="s">
        <v>22</v>
      </c>
      <c r="H167" s="114">
        <f t="shared" si="13"/>
        <v>14.5</v>
      </c>
      <c r="I167" s="104" t="s">
        <v>11</v>
      </c>
      <c r="J167" s="116"/>
      <c r="K167" s="104" t="s">
        <v>22</v>
      </c>
      <c r="L167" s="114">
        <f t="shared" si="14"/>
        <v>14.5</v>
      </c>
      <c r="M167" s="104" t="s">
        <v>11</v>
      </c>
    </row>
    <row r="168" spans="1:21" ht="13.8" thickBot="1" x14ac:dyDescent="0.3">
      <c r="B168" s="101"/>
      <c r="C168" s="102" t="s">
        <v>430</v>
      </c>
      <c r="D168" s="101"/>
      <c r="E168" s="101"/>
      <c r="F168" s="116">
        <v>12</v>
      </c>
      <c r="G168" s="104" t="s">
        <v>22</v>
      </c>
      <c r="H168" s="114">
        <f t="shared" si="13"/>
        <v>14.5</v>
      </c>
      <c r="I168" s="104" t="s">
        <v>11</v>
      </c>
      <c r="J168" s="116"/>
      <c r="K168" s="104" t="s">
        <v>22</v>
      </c>
      <c r="L168" s="114">
        <f t="shared" si="14"/>
        <v>14.5</v>
      </c>
      <c r="M168" s="104" t="s">
        <v>11</v>
      </c>
    </row>
    <row r="169" spans="1:21" ht="13.8" thickBot="1" x14ac:dyDescent="0.3">
      <c r="B169" s="101"/>
      <c r="C169" s="102" t="s">
        <v>431</v>
      </c>
      <c r="D169" s="101"/>
      <c r="E169" s="101"/>
      <c r="F169" s="116"/>
      <c r="G169" s="104" t="s">
        <v>22</v>
      </c>
      <c r="H169" s="114">
        <f t="shared" si="13"/>
        <v>14.5</v>
      </c>
      <c r="I169" s="104" t="s">
        <v>11</v>
      </c>
      <c r="J169" s="97"/>
      <c r="K169" s="104" t="s">
        <v>22</v>
      </c>
      <c r="L169" s="114">
        <f t="shared" si="14"/>
        <v>14.5</v>
      </c>
      <c r="M169" s="104" t="s">
        <v>11</v>
      </c>
    </row>
    <row r="170" spans="1:21" ht="13.8" thickBot="1" x14ac:dyDescent="0.3">
      <c r="B170" s="101"/>
      <c r="C170" s="102" t="s">
        <v>431</v>
      </c>
      <c r="D170" s="101"/>
      <c r="E170" s="101"/>
      <c r="F170" s="116"/>
      <c r="G170" s="104" t="s">
        <v>22</v>
      </c>
      <c r="H170" s="114">
        <f t="shared" si="13"/>
        <v>14.5</v>
      </c>
      <c r="I170" s="104" t="s">
        <v>11</v>
      </c>
      <c r="J170" s="97"/>
      <c r="K170" s="104" t="s">
        <v>22</v>
      </c>
      <c r="L170" s="114">
        <f t="shared" si="14"/>
        <v>14.5</v>
      </c>
      <c r="M170" s="104" t="s">
        <v>11</v>
      </c>
    </row>
    <row r="171" spans="1:21" ht="13.8" thickBot="1" x14ac:dyDescent="0.3">
      <c r="B171" s="101"/>
      <c r="C171" s="102" t="s">
        <v>431</v>
      </c>
      <c r="D171" s="103"/>
      <c r="E171" s="103"/>
      <c r="F171" s="97"/>
      <c r="G171" s="104" t="s">
        <v>22</v>
      </c>
      <c r="H171" s="114">
        <f t="shared" si="13"/>
        <v>14.5</v>
      </c>
      <c r="I171" s="104" t="s">
        <v>11</v>
      </c>
      <c r="J171" s="97"/>
      <c r="K171" s="104" t="s">
        <v>22</v>
      </c>
      <c r="L171" s="114">
        <f t="shared" si="14"/>
        <v>14.5</v>
      </c>
      <c r="M171" s="104" t="s">
        <v>11</v>
      </c>
    </row>
    <row r="172" spans="1:21" s="8" customFormat="1" x14ac:dyDescent="0.25">
      <c r="A172" s="244"/>
      <c r="B172" s="264"/>
      <c r="C172" s="265" t="s">
        <v>196</v>
      </c>
      <c r="D172" s="266"/>
      <c r="E172" s="266"/>
      <c r="F172" s="267">
        <f>SUM(F151:F163)+SUM(F165:F171)</f>
        <v>114.5</v>
      </c>
      <c r="G172" s="264" t="s">
        <v>22</v>
      </c>
      <c r="H172" s="268">
        <f>F172*H151+F164*H164</f>
        <v>1660.25</v>
      </c>
      <c r="I172" s="264" t="s">
        <v>14</v>
      </c>
      <c r="J172" s="269">
        <f>SUM(J151:J163)+SUM(J165:J170)</f>
        <v>272</v>
      </c>
      <c r="K172" s="264" t="s">
        <v>22</v>
      </c>
      <c r="L172" s="268">
        <f>J172*L151+J164*L164</f>
        <v>3944</v>
      </c>
      <c r="M172" s="264" t="s">
        <v>14</v>
      </c>
      <c r="N172"/>
      <c r="O172"/>
      <c r="P172"/>
      <c r="Q172"/>
      <c r="R172"/>
      <c r="S172"/>
      <c r="T172"/>
      <c r="U172"/>
    </row>
    <row r="173" spans="1:21" ht="57" customHeight="1" thickBot="1" x14ac:dyDescent="0.3"/>
    <row r="174" spans="1:21" ht="21" customHeight="1" thickBot="1" x14ac:dyDescent="0.45">
      <c r="B174" s="953" t="s">
        <v>270</v>
      </c>
      <c r="C174" s="954"/>
      <c r="D174" s="954"/>
      <c r="E174" s="955"/>
      <c r="L174" s="956" t="s">
        <v>271</v>
      </c>
      <c r="M174" s="956"/>
      <c r="N174" s="8"/>
    </row>
    <row r="175" spans="1:21" x14ac:dyDescent="0.25">
      <c r="O175" s="8"/>
      <c r="P175" s="8"/>
      <c r="Q175" s="8"/>
      <c r="R175" s="8"/>
      <c r="S175" s="8"/>
      <c r="T175" s="8"/>
      <c r="U175" s="8"/>
    </row>
    <row r="176" spans="1:21" ht="15.6" x14ac:dyDescent="0.3">
      <c r="B176" s="120" t="s">
        <v>432</v>
      </c>
      <c r="C176" s="121"/>
      <c r="D176" s="121"/>
      <c r="E176" s="121"/>
      <c r="F176" s="960" t="s">
        <v>159</v>
      </c>
      <c r="G176" s="960"/>
      <c r="H176" s="960" t="s">
        <v>158</v>
      </c>
      <c r="I176" s="960"/>
      <c r="J176" s="960" t="s">
        <v>273</v>
      </c>
      <c r="K176" s="960"/>
      <c r="L176" s="123"/>
      <c r="M176" s="123"/>
    </row>
    <row r="177" spans="1:21" ht="13.8" thickBot="1" x14ac:dyDescent="0.3">
      <c r="B177" s="121"/>
      <c r="C177" s="121"/>
      <c r="D177" s="121"/>
      <c r="E177" s="121"/>
      <c r="F177" s="121"/>
      <c r="G177" s="121"/>
      <c r="H177" s="122"/>
      <c r="I177" s="122"/>
      <c r="J177" s="123"/>
      <c r="K177" s="123"/>
      <c r="L177" s="123"/>
      <c r="M177" s="123"/>
    </row>
    <row r="178" spans="1:21" ht="13.8" thickBot="1" x14ac:dyDescent="0.3">
      <c r="B178" s="121"/>
      <c r="C178" s="121" t="s">
        <v>433</v>
      </c>
      <c r="D178" s="123"/>
      <c r="E178" s="121"/>
      <c r="F178" s="118">
        <v>1</v>
      </c>
      <c r="G178" s="121" t="s">
        <v>21</v>
      </c>
      <c r="H178" s="99">
        <v>600</v>
      </c>
      <c r="I178" s="122" t="s">
        <v>6</v>
      </c>
      <c r="J178" s="124">
        <f>F178*H178</f>
        <v>600</v>
      </c>
      <c r="K178" s="121" t="s">
        <v>14</v>
      </c>
      <c r="L178" s="123"/>
      <c r="M178" s="123"/>
    </row>
    <row r="179" spans="1:21" ht="13.8" thickBot="1" x14ac:dyDescent="0.3">
      <c r="B179" s="121"/>
      <c r="C179" s="121" t="s">
        <v>434</v>
      </c>
      <c r="D179" s="123"/>
      <c r="E179" s="121"/>
      <c r="F179" s="118">
        <v>0</v>
      </c>
      <c r="G179" s="121" t="s">
        <v>21</v>
      </c>
      <c r="H179" s="99">
        <v>2.1</v>
      </c>
      <c r="I179" s="122" t="s">
        <v>6</v>
      </c>
      <c r="J179" s="124">
        <f t="shared" ref="J179:J183" si="15">F179*H179</f>
        <v>0</v>
      </c>
      <c r="K179" s="121" t="s">
        <v>14</v>
      </c>
      <c r="L179" s="123"/>
      <c r="M179" s="123"/>
    </row>
    <row r="180" spans="1:21" ht="13.8" thickBot="1" x14ac:dyDescent="0.3">
      <c r="B180" s="121"/>
      <c r="C180" s="121" t="s">
        <v>280</v>
      </c>
      <c r="D180" s="123"/>
      <c r="E180" s="121"/>
      <c r="F180" s="96"/>
      <c r="G180" s="121" t="s">
        <v>21</v>
      </c>
      <c r="H180" s="99"/>
      <c r="I180" s="122" t="s">
        <v>6</v>
      </c>
      <c r="J180" s="124">
        <f t="shared" si="15"/>
        <v>0</v>
      </c>
      <c r="K180" s="121" t="s">
        <v>14</v>
      </c>
      <c r="L180" s="123"/>
      <c r="M180" s="123"/>
    </row>
    <row r="181" spans="1:21" ht="13.8" thickBot="1" x14ac:dyDescent="0.3">
      <c r="B181" s="121"/>
      <c r="C181" s="121" t="s">
        <v>280</v>
      </c>
      <c r="D181" s="123"/>
      <c r="E181" s="121"/>
      <c r="F181" s="96"/>
      <c r="G181" s="121" t="s">
        <v>21</v>
      </c>
      <c r="H181" s="99"/>
      <c r="I181" s="122" t="s">
        <v>6</v>
      </c>
      <c r="J181" s="124">
        <f t="shared" si="15"/>
        <v>0</v>
      </c>
      <c r="K181" s="121" t="s">
        <v>14</v>
      </c>
      <c r="L181" s="123"/>
      <c r="M181" s="123"/>
    </row>
    <row r="182" spans="1:21" ht="13.8" thickBot="1" x14ac:dyDescent="0.3">
      <c r="B182" s="121"/>
      <c r="C182" s="121" t="s">
        <v>280</v>
      </c>
      <c r="D182" s="121"/>
      <c r="E182" s="121"/>
      <c r="F182" s="96"/>
      <c r="G182" s="121" t="s">
        <v>21</v>
      </c>
      <c r="H182" s="99"/>
      <c r="I182" s="122" t="s">
        <v>6</v>
      </c>
      <c r="J182" s="124">
        <f t="shared" si="15"/>
        <v>0</v>
      </c>
      <c r="K182" s="121" t="s">
        <v>14</v>
      </c>
      <c r="L182" s="123"/>
      <c r="M182" s="123"/>
    </row>
    <row r="183" spans="1:21" ht="13.8" thickBot="1" x14ac:dyDescent="0.3">
      <c r="B183" s="121"/>
      <c r="C183" s="121" t="s">
        <v>280</v>
      </c>
      <c r="D183" s="121"/>
      <c r="E183" s="121"/>
      <c r="F183" s="96"/>
      <c r="G183" s="121" t="s">
        <v>21</v>
      </c>
      <c r="H183" s="99"/>
      <c r="I183" s="122" t="s">
        <v>6</v>
      </c>
      <c r="J183" s="124">
        <f t="shared" si="15"/>
        <v>0</v>
      </c>
      <c r="K183" s="121" t="s">
        <v>14</v>
      </c>
      <c r="L183" s="123"/>
      <c r="M183" s="123"/>
    </row>
    <row r="184" spans="1:21" s="8" customFormat="1" x14ac:dyDescent="0.25">
      <c r="A184" s="244"/>
      <c r="B184" s="270"/>
      <c r="C184" s="270" t="s">
        <v>196</v>
      </c>
      <c r="D184" s="270"/>
      <c r="E184" s="270"/>
      <c r="F184" s="270"/>
      <c r="G184" s="270"/>
      <c r="H184" s="270"/>
      <c r="I184" s="271"/>
      <c r="J184" s="272">
        <f>SUM(J178:J183)</f>
        <v>600</v>
      </c>
      <c r="K184" s="270" t="s">
        <v>14</v>
      </c>
      <c r="L184" s="270"/>
      <c r="M184" s="270"/>
      <c r="N184"/>
      <c r="O184"/>
      <c r="P184"/>
      <c r="Q184"/>
      <c r="R184"/>
      <c r="S184"/>
      <c r="T184"/>
      <c r="U184"/>
    </row>
    <row r="185" spans="1:21" x14ac:dyDescent="0.25">
      <c r="B185" s="121"/>
      <c r="C185" s="121"/>
      <c r="D185" s="121"/>
      <c r="E185" s="121"/>
      <c r="F185" s="121"/>
      <c r="G185" s="121"/>
      <c r="H185" s="121"/>
      <c r="I185" s="122"/>
      <c r="J185" s="124"/>
      <c r="K185" s="121"/>
      <c r="L185" s="123"/>
      <c r="M185" s="123"/>
    </row>
    <row r="186" spans="1:21" ht="46.05" customHeight="1" x14ac:dyDescent="0.25">
      <c r="N186" s="8"/>
    </row>
    <row r="187" spans="1:21" ht="15.6" x14ac:dyDescent="0.3">
      <c r="B187" s="109" t="s">
        <v>435</v>
      </c>
      <c r="C187" s="72"/>
      <c r="D187" s="72"/>
      <c r="E187" s="72"/>
      <c r="F187" s="957" t="s">
        <v>159</v>
      </c>
      <c r="G187" s="957"/>
      <c r="H187" s="958" t="s">
        <v>158</v>
      </c>
      <c r="I187" s="958"/>
      <c r="J187" s="957" t="s">
        <v>273</v>
      </c>
      <c r="K187" s="957"/>
      <c r="L187" s="79"/>
      <c r="M187" s="79"/>
      <c r="O187" s="8"/>
      <c r="P187" s="8"/>
      <c r="Q187" s="8"/>
      <c r="R187" s="8"/>
      <c r="S187" s="8"/>
      <c r="T187" s="8"/>
      <c r="U187" s="8"/>
    </row>
    <row r="188" spans="1:21" ht="15.6" x14ac:dyDescent="0.3">
      <c r="B188" s="109"/>
      <c r="C188" s="72"/>
      <c r="D188" s="462" t="s">
        <v>364</v>
      </c>
      <c r="E188" s="72"/>
      <c r="F188" s="478"/>
      <c r="G188" s="478"/>
      <c r="H188" s="475"/>
      <c r="I188" s="475"/>
      <c r="J188" s="478"/>
      <c r="K188" s="478"/>
      <c r="L188" s="79"/>
      <c r="M188" s="79"/>
    </row>
    <row r="189" spans="1:21" ht="55.05" customHeight="1" thickBot="1" x14ac:dyDescent="0.3">
      <c r="B189" s="214" t="s">
        <v>357</v>
      </c>
      <c r="C189" s="72"/>
      <c r="D189" s="72"/>
      <c r="E189" s="72"/>
      <c r="F189" s="74"/>
      <c r="G189" s="74"/>
      <c r="H189" s="73"/>
      <c r="I189" s="73"/>
      <c r="J189" s="79"/>
      <c r="K189" s="79"/>
      <c r="L189" s="79"/>
      <c r="M189" s="79"/>
      <c r="N189" s="5"/>
    </row>
    <row r="190" spans="1:21" ht="13.8" thickBot="1" x14ac:dyDescent="0.3">
      <c r="B190" s="72"/>
      <c r="C190" s="72" t="s">
        <v>80</v>
      </c>
      <c r="D190" s="79"/>
      <c r="E190" s="72"/>
      <c r="F190" s="119">
        <v>0.25</v>
      </c>
      <c r="G190" s="74" t="s">
        <v>20</v>
      </c>
      <c r="H190" s="99">
        <v>39.200000000000003</v>
      </c>
      <c r="I190" s="73" t="s">
        <v>5</v>
      </c>
      <c r="J190" s="79">
        <f t="shared" ref="J190:J202" si="16">F190*H190</f>
        <v>9.8000000000000007</v>
      </c>
      <c r="K190" s="72" t="s">
        <v>14</v>
      </c>
      <c r="L190" s="79"/>
      <c r="M190" s="79"/>
      <c r="N190" s="5"/>
      <c r="O190" s="5"/>
    </row>
    <row r="191" spans="1:21" ht="13.8" thickBot="1" x14ac:dyDescent="0.3">
      <c r="B191" s="72"/>
      <c r="C191" s="72" t="s">
        <v>90</v>
      </c>
      <c r="D191" s="79"/>
      <c r="E191" s="72"/>
      <c r="F191" s="119">
        <v>0.9</v>
      </c>
      <c r="G191" s="74" t="s">
        <v>21</v>
      </c>
      <c r="H191" s="99">
        <v>140</v>
      </c>
      <c r="I191" s="73" t="s">
        <v>6</v>
      </c>
      <c r="J191" s="79">
        <f t="shared" si="16"/>
        <v>126</v>
      </c>
      <c r="K191" s="72" t="s">
        <v>14</v>
      </c>
      <c r="L191" s="79"/>
      <c r="M191" s="79"/>
      <c r="N191" s="5"/>
      <c r="O191" s="5"/>
    </row>
    <row r="192" spans="1:21" ht="13.8" thickBot="1" x14ac:dyDescent="0.3">
      <c r="B192" s="72"/>
      <c r="C192" s="72" t="s">
        <v>82</v>
      </c>
      <c r="D192" s="79"/>
      <c r="E192" s="72"/>
      <c r="F192" s="119">
        <v>2</v>
      </c>
      <c r="G192" s="74" t="s">
        <v>21</v>
      </c>
      <c r="H192" s="99">
        <v>108</v>
      </c>
      <c r="I192" s="73" t="s">
        <v>6</v>
      </c>
      <c r="J192" s="79">
        <f t="shared" si="16"/>
        <v>216</v>
      </c>
      <c r="K192" s="72" t="s">
        <v>14</v>
      </c>
      <c r="L192" s="79"/>
      <c r="M192" s="79"/>
      <c r="N192" s="5"/>
      <c r="O192" s="5"/>
    </row>
    <row r="193" spans="1:15" ht="13.8" thickBot="1" x14ac:dyDescent="0.3">
      <c r="B193" s="72"/>
      <c r="C193" s="72" t="s">
        <v>326</v>
      </c>
      <c r="D193" s="79"/>
      <c r="E193" s="72"/>
      <c r="F193" s="119"/>
      <c r="G193" s="74" t="s">
        <v>21</v>
      </c>
      <c r="H193" s="99"/>
      <c r="I193" s="73" t="s">
        <v>6</v>
      </c>
      <c r="J193" s="79">
        <f t="shared" ref="J193" si="17">F193*H193</f>
        <v>0</v>
      </c>
      <c r="K193" s="72" t="s">
        <v>14</v>
      </c>
      <c r="L193" s="79"/>
      <c r="M193" s="79"/>
      <c r="N193" s="5"/>
      <c r="O193" s="5"/>
    </row>
    <row r="194" spans="1:15" ht="13.8" thickBot="1" x14ac:dyDescent="0.3">
      <c r="B194" s="72"/>
      <c r="C194" s="72" t="s">
        <v>326</v>
      </c>
      <c r="D194" s="72"/>
      <c r="E194" s="72"/>
      <c r="F194" s="119"/>
      <c r="G194" s="74" t="s">
        <v>20</v>
      </c>
      <c r="H194" s="99"/>
      <c r="I194" s="73" t="s">
        <v>5</v>
      </c>
      <c r="J194" s="79">
        <f t="shared" si="16"/>
        <v>0</v>
      </c>
      <c r="K194" s="72" t="s">
        <v>14</v>
      </c>
      <c r="L194" s="79"/>
      <c r="M194" s="79"/>
      <c r="N194" s="5"/>
      <c r="O194" s="5"/>
    </row>
    <row r="195" spans="1:15" ht="13.8" thickBot="1" x14ac:dyDescent="0.3">
      <c r="B195" s="72"/>
      <c r="C195" s="72" t="s">
        <v>326</v>
      </c>
      <c r="D195" s="72"/>
      <c r="E195" s="72"/>
      <c r="F195" s="119"/>
      <c r="G195" s="74" t="s">
        <v>20</v>
      </c>
      <c r="H195" s="99"/>
      <c r="I195" s="73" t="s">
        <v>5</v>
      </c>
      <c r="J195" s="79">
        <f t="shared" si="16"/>
        <v>0</v>
      </c>
      <c r="K195" s="72" t="s">
        <v>14</v>
      </c>
      <c r="L195" s="79"/>
      <c r="M195" s="79"/>
      <c r="N195" s="5"/>
      <c r="O195" s="5"/>
    </row>
    <row r="196" spans="1:15" x14ac:dyDescent="0.25">
      <c r="B196" s="72"/>
      <c r="C196" s="72"/>
      <c r="D196" s="72"/>
      <c r="E196" s="72"/>
      <c r="F196" s="212"/>
      <c r="G196" s="74"/>
      <c r="H196" s="213"/>
      <c r="I196" s="73"/>
      <c r="J196" s="79"/>
      <c r="K196" s="72"/>
      <c r="L196" s="79"/>
      <c r="M196" s="79"/>
      <c r="N196" s="5"/>
      <c r="O196" s="5"/>
    </row>
    <row r="197" spans="1:15" ht="13.8" thickBot="1" x14ac:dyDescent="0.3">
      <c r="B197" s="214" t="s">
        <v>358</v>
      </c>
      <c r="C197" s="72"/>
      <c r="D197" s="72"/>
      <c r="E197" s="72"/>
      <c r="F197" s="212"/>
      <c r="G197" s="74"/>
      <c r="H197" s="213"/>
      <c r="I197" s="73"/>
      <c r="J197" s="79"/>
      <c r="K197" s="72"/>
      <c r="L197" s="79"/>
      <c r="M197" s="79"/>
      <c r="N197" s="5"/>
      <c r="O197" s="5"/>
    </row>
    <row r="198" spans="1:15" ht="13.8" thickBot="1" x14ac:dyDescent="0.3">
      <c r="A198" s="224"/>
      <c r="B198" s="72"/>
      <c r="C198" s="72" t="s">
        <v>436</v>
      </c>
      <c r="D198" s="72"/>
      <c r="E198" s="72"/>
      <c r="F198" s="98">
        <v>375000</v>
      </c>
      <c r="G198" s="74" t="s">
        <v>153</v>
      </c>
      <c r="H198" s="593">
        <v>2E-3</v>
      </c>
      <c r="I198" s="73" t="s">
        <v>152</v>
      </c>
      <c r="J198" s="79">
        <f t="shared" si="16"/>
        <v>750</v>
      </c>
      <c r="K198" s="72" t="s">
        <v>14</v>
      </c>
      <c r="L198" s="79"/>
      <c r="M198" s="79"/>
      <c r="N198" s="5"/>
      <c r="O198" s="5"/>
    </row>
    <row r="199" spans="1:15" ht="13.8" thickBot="1" x14ac:dyDescent="0.3">
      <c r="A199" s="224"/>
      <c r="B199" s="72"/>
      <c r="C199" s="72" t="s">
        <v>86</v>
      </c>
      <c r="D199" s="72"/>
      <c r="E199" s="72"/>
      <c r="F199" s="119">
        <v>0.5</v>
      </c>
      <c r="G199" s="74" t="s">
        <v>21</v>
      </c>
      <c r="H199" s="119">
        <v>255</v>
      </c>
      <c r="I199" s="72" t="s">
        <v>6</v>
      </c>
      <c r="J199" s="79">
        <f t="shared" si="16"/>
        <v>127.5</v>
      </c>
      <c r="K199" s="72" t="s">
        <v>14</v>
      </c>
      <c r="L199" s="79"/>
      <c r="M199" s="79"/>
      <c r="N199" s="5"/>
      <c r="O199" s="5"/>
    </row>
    <row r="200" spans="1:15" ht="13.8" thickBot="1" x14ac:dyDescent="0.3">
      <c r="A200" s="224"/>
      <c r="B200" s="72"/>
      <c r="C200" s="72" t="s">
        <v>326</v>
      </c>
      <c r="D200" s="72"/>
      <c r="E200" s="72"/>
      <c r="F200" s="119"/>
      <c r="G200" s="74"/>
      <c r="H200" s="119"/>
      <c r="I200" s="241"/>
      <c r="J200" s="79"/>
      <c r="K200" s="72"/>
      <c r="L200" s="79"/>
      <c r="M200" s="79"/>
      <c r="N200" s="5"/>
      <c r="O200" s="5"/>
    </row>
    <row r="201" spans="1:15" ht="13.8" thickBot="1" x14ac:dyDescent="0.3">
      <c r="A201" s="224"/>
      <c r="B201" s="72"/>
      <c r="C201" s="72" t="s">
        <v>326</v>
      </c>
      <c r="D201" s="72"/>
      <c r="E201" s="72"/>
      <c r="F201" s="119"/>
      <c r="G201" s="74"/>
      <c r="H201" s="119"/>
      <c r="I201" s="241"/>
      <c r="J201" s="79">
        <f t="shared" si="16"/>
        <v>0</v>
      </c>
      <c r="K201" s="72" t="s">
        <v>14</v>
      </c>
      <c r="L201" s="79"/>
      <c r="M201" s="79"/>
      <c r="N201" s="5"/>
      <c r="O201" s="5"/>
    </row>
    <row r="202" spans="1:15" ht="13.8" thickBot="1" x14ac:dyDescent="0.3">
      <c r="A202" s="224"/>
      <c r="B202" s="72"/>
      <c r="C202" s="72" t="s">
        <v>326</v>
      </c>
      <c r="D202" s="72"/>
      <c r="E202" s="72"/>
      <c r="F202" s="119"/>
      <c r="G202" s="74"/>
      <c r="H202" s="119"/>
      <c r="I202" s="73"/>
      <c r="J202" s="79">
        <f t="shared" si="16"/>
        <v>0</v>
      </c>
      <c r="K202" s="72" t="s">
        <v>14</v>
      </c>
      <c r="L202" s="79"/>
      <c r="M202" s="79"/>
      <c r="N202" s="5"/>
      <c r="O202" s="5"/>
    </row>
    <row r="203" spans="1:15" x14ac:dyDescent="0.25">
      <c r="A203" s="224"/>
      <c r="B203" s="241"/>
      <c r="C203" s="241" t="s">
        <v>196</v>
      </c>
      <c r="D203" s="241"/>
      <c r="E203" s="241"/>
      <c r="F203" s="273"/>
      <c r="G203" s="242"/>
      <c r="H203" s="273"/>
      <c r="I203" s="73"/>
      <c r="J203" s="241">
        <f>SUM(J190:J202)</f>
        <v>1229.3</v>
      </c>
      <c r="K203" s="241" t="s">
        <v>14</v>
      </c>
      <c r="L203" s="241"/>
      <c r="M203" s="241"/>
      <c r="N203" s="5"/>
      <c r="O203" s="5"/>
    </row>
    <row r="204" spans="1:15" x14ac:dyDescent="0.25">
      <c r="A204" s="224"/>
      <c r="B204" s="241"/>
      <c r="C204" s="241"/>
      <c r="D204" s="241"/>
      <c r="E204" s="241"/>
      <c r="F204" s="273"/>
      <c r="G204" s="242"/>
      <c r="H204" s="273"/>
      <c r="I204" s="73"/>
      <c r="J204" s="241"/>
      <c r="K204" s="241"/>
      <c r="L204" s="241"/>
      <c r="M204" s="241"/>
      <c r="N204" s="5"/>
      <c r="O204" s="5"/>
    </row>
    <row r="205" spans="1:15" ht="40.950000000000003" customHeight="1" x14ac:dyDescent="0.25">
      <c r="A205" s="224"/>
      <c r="N205" s="5"/>
      <c r="O205" s="5"/>
    </row>
    <row r="206" spans="1:15" ht="15.6" x14ac:dyDescent="0.3">
      <c r="A206" s="224"/>
      <c r="B206" s="639" t="s">
        <v>437</v>
      </c>
      <c r="C206" s="640"/>
      <c r="D206" s="640"/>
      <c r="E206" s="640"/>
      <c r="F206" s="975" t="s">
        <v>159</v>
      </c>
      <c r="G206" s="975"/>
      <c r="H206" s="975" t="s">
        <v>158</v>
      </c>
      <c r="I206" s="975"/>
      <c r="J206" s="975" t="s">
        <v>273</v>
      </c>
      <c r="K206" s="975"/>
      <c r="L206" s="129"/>
      <c r="M206" s="129"/>
      <c r="N206" s="5"/>
      <c r="O206" s="5"/>
    </row>
    <row r="207" spans="1:15" ht="13.8" thickBot="1" x14ac:dyDescent="0.3">
      <c r="A207" s="224"/>
      <c r="B207" s="640"/>
      <c r="C207" s="640"/>
      <c r="D207" s="640"/>
      <c r="E207" s="640"/>
      <c r="F207" s="640"/>
      <c r="G207" s="640"/>
      <c r="H207" s="641"/>
      <c r="I207" s="641"/>
      <c r="J207" s="129"/>
      <c r="K207" s="129"/>
      <c r="L207" s="129"/>
      <c r="M207" s="129"/>
      <c r="N207" s="5"/>
      <c r="O207" s="5"/>
    </row>
    <row r="208" spans="1:15" ht="13.8" thickBot="1" x14ac:dyDescent="0.3">
      <c r="A208" s="224"/>
      <c r="B208" s="640"/>
      <c r="C208" s="640" t="s">
        <v>438</v>
      </c>
      <c r="D208" s="129"/>
      <c r="E208" s="640"/>
      <c r="F208" s="642">
        <v>5</v>
      </c>
      <c r="G208" s="640" t="s">
        <v>439</v>
      </c>
      <c r="H208" s="643">
        <v>160</v>
      </c>
      <c r="I208" s="641" t="s">
        <v>440</v>
      </c>
      <c r="J208" s="644">
        <f t="shared" ref="J208:J210" si="18">F208*H208</f>
        <v>800</v>
      </c>
      <c r="K208" s="640" t="s">
        <v>14</v>
      </c>
      <c r="L208" s="129"/>
      <c r="M208" s="129"/>
      <c r="N208" s="5"/>
      <c r="O208" s="5"/>
    </row>
    <row r="209" spans="1:21" ht="13.8" thickBot="1" x14ac:dyDescent="0.3">
      <c r="A209" s="224"/>
      <c r="B209" s="640"/>
      <c r="C209" s="640" t="s">
        <v>292</v>
      </c>
      <c r="D209" s="640"/>
      <c r="E209" s="640"/>
      <c r="F209" s="642"/>
      <c r="G209" s="640" t="s">
        <v>0</v>
      </c>
      <c r="H209" s="643"/>
      <c r="I209" s="641" t="s">
        <v>14</v>
      </c>
      <c r="J209" s="644">
        <f t="shared" si="18"/>
        <v>0</v>
      </c>
      <c r="K209" s="640" t="s">
        <v>14</v>
      </c>
      <c r="L209" s="129"/>
      <c r="M209" s="129"/>
      <c r="N209" s="5"/>
      <c r="O209" s="5"/>
    </row>
    <row r="210" spans="1:21" ht="13.8" thickBot="1" x14ac:dyDescent="0.3">
      <c r="A210" s="224"/>
      <c r="B210" s="640"/>
      <c r="C210" s="640" t="s">
        <v>292</v>
      </c>
      <c r="D210" s="640"/>
      <c r="E210" s="640"/>
      <c r="F210" s="642"/>
      <c r="G210" s="640" t="s">
        <v>0</v>
      </c>
      <c r="H210" s="643"/>
      <c r="I210" s="641" t="s">
        <v>14</v>
      </c>
      <c r="J210" s="644">
        <f t="shared" si="18"/>
        <v>0</v>
      </c>
      <c r="K210" s="640" t="s">
        <v>14</v>
      </c>
      <c r="L210" s="129"/>
      <c r="M210" s="129"/>
      <c r="N210" s="5"/>
      <c r="O210" s="5"/>
    </row>
    <row r="211" spans="1:21" x14ac:dyDescent="0.25">
      <c r="A211" s="224"/>
      <c r="B211" s="369"/>
      <c r="C211" s="369" t="s">
        <v>196</v>
      </c>
      <c r="D211" s="369"/>
      <c r="E211" s="369"/>
      <c r="F211" s="645"/>
      <c r="G211" s="369"/>
      <c r="H211" s="646"/>
      <c r="I211" s="647"/>
      <c r="J211" s="648">
        <f>SUM(J208:J210)</f>
        <v>800</v>
      </c>
      <c r="K211" s="369" t="s">
        <v>14</v>
      </c>
      <c r="L211" s="369"/>
      <c r="M211" s="369"/>
      <c r="N211" s="5"/>
      <c r="O211" s="5"/>
    </row>
    <row r="212" spans="1:21" x14ac:dyDescent="0.25">
      <c r="A212" s="224"/>
      <c r="B212" s="640"/>
      <c r="C212" s="640"/>
      <c r="D212" s="640"/>
      <c r="E212" s="640"/>
      <c r="F212" s="640"/>
      <c r="G212" s="640"/>
      <c r="H212" s="641"/>
      <c r="I212" s="641"/>
      <c r="J212" s="644"/>
      <c r="K212" s="640"/>
      <c r="L212" s="129"/>
      <c r="M212" s="129"/>
      <c r="N212" s="5"/>
      <c r="O212" s="5"/>
    </row>
    <row r="213" spans="1:21" ht="40.950000000000003" customHeight="1" x14ac:dyDescent="0.25">
      <c r="A213" s="224"/>
      <c r="N213" s="5"/>
      <c r="O213" s="5"/>
    </row>
    <row r="214" spans="1:21" ht="15.6" x14ac:dyDescent="0.3">
      <c r="A214" s="224"/>
      <c r="B214" s="110" t="s">
        <v>441</v>
      </c>
      <c r="C214" s="82"/>
      <c r="D214" s="82"/>
      <c r="E214" s="82"/>
      <c r="F214" s="965" t="s">
        <v>159</v>
      </c>
      <c r="G214" s="965"/>
      <c r="H214" s="965" t="s">
        <v>158</v>
      </c>
      <c r="I214" s="965"/>
      <c r="J214" s="965" t="s">
        <v>273</v>
      </c>
      <c r="K214" s="965"/>
      <c r="L214" s="84"/>
      <c r="M214" s="84"/>
      <c r="N214" s="5"/>
      <c r="O214" s="5"/>
    </row>
    <row r="215" spans="1:21" ht="13.8" thickBot="1" x14ac:dyDescent="0.3">
      <c r="A215" s="224"/>
      <c r="B215" s="82"/>
      <c r="C215" s="82"/>
      <c r="D215" s="82"/>
      <c r="E215" s="82"/>
      <c r="F215" s="82"/>
      <c r="G215" s="82"/>
      <c r="H215" s="83"/>
      <c r="I215" s="83"/>
      <c r="J215" s="84"/>
      <c r="K215" s="84"/>
      <c r="L215" s="84"/>
      <c r="M215" s="84"/>
      <c r="N215" s="5"/>
      <c r="O215" s="5"/>
    </row>
    <row r="216" spans="1:21" ht="13.8" thickBot="1" x14ac:dyDescent="0.3">
      <c r="A216" s="224"/>
      <c r="B216" s="82"/>
      <c r="C216" s="82" t="s">
        <v>442</v>
      </c>
      <c r="D216" s="82"/>
      <c r="E216" s="82"/>
      <c r="F216" s="463">
        <f>S10*'Gårdens info'!$G$22/1</f>
        <v>0</v>
      </c>
      <c r="G216" s="82" t="s">
        <v>153</v>
      </c>
      <c r="H216" s="99">
        <v>0</v>
      </c>
      <c r="I216" s="83" t="s">
        <v>152</v>
      </c>
      <c r="J216" s="85">
        <f>F216*H216</f>
        <v>0</v>
      </c>
      <c r="K216" s="82" t="s">
        <v>14</v>
      </c>
      <c r="L216" s="84"/>
      <c r="M216" s="84"/>
      <c r="N216" s="5"/>
    </row>
    <row r="217" spans="1:21" ht="13.8" thickBot="1" x14ac:dyDescent="0.3">
      <c r="A217" s="224"/>
      <c r="B217" s="82"/>
      <c r="C217" s="82" t="s">
        <v>443</v>
      </c>
      <c r="D217" s="84"/>
      <c r="E217" s="82"/>
      <c r="F217" s="463">
        <f>S11*'Gårdens info'!$G$22/5</f>
        <v>0</v>
      </c>
      <c r="G217" s="82" t="s">
        <v>153</v>
      </c>
      <c r="H217" s="99">
        <v>0.65</v>
      </c>
      <c r="I217" s="83" t="s">
        <v>152</v>
      </c>
      <c r="J217" s="85">
        <f>F217*H217</f>
        <v>0</v>
      </c>
      <c r="K217" s="82" t="s">
        <v>14</v>
      </c>
      <c r="L217" s="84"/>
      <c r="M217" s="84"/>
      <c r="N217" s="5"/>
    </row>
    <row r="218" spans="1:21" ht="13.8" thickBot="1" x14ac:dyDescent="0.3">
      <c r="A218" s="224"/>
      <c r="B218" s="82"/>
      <c r="C218" s="82" t="s">
        <v>444</v>
      </c>
      <c r="D218" s="84"/>
      <c r="E218" s="82"/>
      <c r="F218" s="463">
        <f>S12*'Gårdens info'!$G$22/3</f>
        <v>0</v>
      </c>
      <c r="G218" s="82" t="s">
        <v>153</v>
      </c>
      <c r="H218" s="99">
        <v>0.89</v>
      </c>
      <c r="I218" s="83" t="s">
        <v>152</v>
      </c>
      <c r="J218" s="85">
        <f t="shared" ref="J218:J221" si="19">F218*H218</f>
        <v>0</v>
      </c>
      <c r="K218" s="82" t="s">
        <v>14</v>
      </c>
      <c r="L218" s="84"/>
      <c r="M218" s="84"/>
      <c r="N218" s="5"/>
    </row>
    <row r="219" spans="1:21" ht="13.8" thickBot="1" x14ac:dyDescent="0.3">
      <c r="A219" s="224"/>
      <c r="B219" s="82"/>
      <c r="C219" s="82" t="s">
        <v>445</v>
      </c>
      <c r="D219" s="84"/>
      <c r="E219" s="82"/>
      <c r="F219" s="463">
        <f>S13*'Gårdens info'!$G$22/0.5</f>
        <v>0</v>
      </c>
      <c r="G219" s="82" t="s">
        <v>153</v>
      </c>
      <c r="H219" s="99">
        <v>0.05</v>
      </c>
      <c r="I219" s="83" t="s">
        <v>152</v>
      </c>
      <c r="J219" s="85">
        <f t="shared" si="19"/>
        <v>0</v>
      </c>
      <c r="K219" s="82" t="s">
        <v>14</v>
      </c>
      <c r="L219" s="84"/>
      <c r="M219" s="84"/>
      <c r="N219" s="5"/>
    </row>
    <row r="220" spans="1:21" ht="13.8" thickBot="1" x14ac:dyDescent="0.3">
      <c r="A220" s="224"/>
      <c r="B220" s="82"/>
      <c r="C220" s="82" t="s">
        <v>446</v>
      </c>
      <c r="D220" s="84"/>
      <c r="E220" s="82"/>
      <c r="F220" s="463">
        <f>S14*'Gårdens info'!$G$22/0.25</f>
        <v>13600</v>
      </c>
      <c r="G220" s="82" t="s">
        <v>153</v>
      </c>
      <c r="H220" s="99">
        <v>0.04</v>
      </c>
      <c r="I220" s="83" t="s">
        <v>152</v>
      </c>
      <c r="J220" s="85">
        <f t="shared" si="19"/>
        <v>544</v>
      </c>
      <c r="K220" s="82" t="s">
        <v>14</v>
      </c>
      <c r="L220" s="84"/>
      <c r="M220" s="84"/>
      <c r="N220" s="5"/>
    </row>
    <row r="221" spans="1:21" ht="13.8" thickBot="1" x14ac:dyDescent="0.3">
      <c r="B221" s="82"/>
      <c r="C221" s="99" t="s">
        <v>290</v>
      </c>
      <c r="D221" s="99"/>
      <c r="E221" s="82" t="s">
        <v>21</v>
      </c>
      <c r="F221" s="463">
        <f>IF(S15&gt;0,S15*'Gårdens info'!$G$22/D221,0)</f>
        <v>0</v>
      </c>
      <c r="G221" s="82" t="s">
        <v>153</v>
      </c>
      <c r="H221" s="99"/>
      <c r="I221" s="83" t="s">
        <v>152</v>
      </c>
      <c r="J221" s="85">
        <f t="shared" si="19"/>
        <v>0</v>
      </c>
      <c r="K221" s="82" t="s">
        <v>14</v>
      </c>
      <c r="L221" s="84"/>
      <c r="M221" s="84"/>
    </row>
    <row r="222" spans="1:21" ht="13.8" thickBot="1" x14ac:dyDescent="0.3">
      <c r="B222" s="82"/>
      <c r="C222" s="99" t="s">
        <v>290</v>
      </c>
      <c r="D222" s="99"/>
      <c r="E222" s="82" t="s">
        <v>21</v>
      </c>
      <c r="F222" s="463">
        <f>IF(S16&gt;0,S16*'Gårdens info'!$G$22/D222,0)</f>
        <v>0</v>
      </c>
      <c r="G222" s="82" t="s">
        <v>153</v>
      </c>
      <c r="H222" s="99"/>
      <c r="I222" s="83" t="s">
        <v>152</v>
      </c>
      <c r="J222" s="85">
        <f t="shared" ref="J222:J223" si="20">F222*H222</f>
        <v>0</v>
      </c>
      <c r="K222" s="82" t="s">
        <v>14</v>
      </c>
      <c r="L222" s="84"/>
      <c r="M222" s="84"/>
    </row>
    <row r="223" spans="1:21" ht="13.8" thickBot="1" x14ac:dyDescent="0.3">
      <c r="B223" s="82"/>
      <c r="C223" s="99" t="s">
        <v>290</v>
      </c>
      <c r="D223" s="99"/>
      <c r="E223" s="82" t="s">
        <v>21</v>
      </c>
      <c r="F223" s="463">
        <f>IF(S17&gt;0,S17*'Gårdens info'!$G$22/D223,0)</f>
        <v>0</v>
      </c>
      <c r="G223" s="82" t="s">
        <v>153</v>
      </c>
      <c r="H223" s="99"/>
      <c r="I223" s="83" t="s">
        <v>152</v>
      </c>
      <c r="J223" s="85">
        <f t="shared" si="20"/>
        <v>0</v>
      </c>
      <c r="K223" s="82" t="s">
        <v>14</v>
      </c>
      <c r="L223" s="84"/>
      <c r="M223" s="84"/>
    </row>
    <row r="224" spans="1:21" s="8" customFormat="1" x14ac:dyDescent="0.25">
      <c r="A224" s="244"/>
      <c r="B224" s="245"/>
      <c r="C224" s="245" t="s">
        <v>196</v>
      </c>
      <c r="D224" s="245"/>
      <c r="E224" s="245"/>
      <c r="F224" s="246"/>
      <c r="G224" s="245"/>
      <c r="H224" s="247"/>
      <c r="I224" s="248"/>
      <c r="J224" s="249">
        <f>SUM(J217:J223)</f>
        <v>544</v>
      </c>
      <c r="K224" s="245" t="s">
        <v>14</v>
      </c>
      <c r="L224" s="245"/>
      <c r="M224" s="245"/>
      <c r="N224"/>
      <c r="O224"/>
      <c r="P224"/>
      <c r="Q224"/>
      <c r="R224"/>
      <c r="S224"/>
      <c r="T224"/>
      <c r="U224"/>
    </row>
    <row r="225" spans="1:21" x14ac:dyDescent="0.25">
      <c r="B225" s="82"/>
      <c r="C225" s="82"/>
      <c r="D225" s="82"/>
      <c r="E225" s="82"/>
      <c r="F225" s="82"/>
      <c r="G225" s="82"/>
      <c r="H225" s="83"/>
      <c r="I225" s="83"/>
      <c r="J225" s="85"/>
      <c r="K225" s="82"/>
      <c r="L225" s="84"/>
      <c r="M225" s="84"/>
    </row>
    <row r="226" spans="1:21" ht="30" customHeight="1" x14ac:dyDescent="0.25">
      <c r="N226" s="8"/>
    </row>
    <row r="227" spans="1:21" ht="15.6" x14ac:dyDescent="0.3">
      <c r="B227" s="111" t="s">
        <v>447</v>
      </c>
      <c r="C227" s="87"/>
      <c r="D227" s="87"/>
      <c r="E227" s="87"/>
      <c r="F227" s="966" t="s">
        <v>159</v>
      </c>
      <c r="G227" s="966"/>
      <c r="H227" s="966" t="s">
        <v>158</v>
      </c>
      <c r="I227" s="966"/>
      <c r="J227" s="966" t="s">
        <v>273</v>
      </c>
      <c r="K227" s="966"/>
      <c r="L227" s="89"/>
      <c r="M227" s="89"/>
      <c r="O227" s="8"/>
      <c r="P227" s="8"/>
      <c r="Q227" s="8"/>
      <c r="R227" s="8"/>
      <c r="S227" s="8"/>
      <c r="T227" s="8"/>
      <c r="U227" s="8"/>
    </row>
    <row r="228" spans="1:21" ht="13.8" thickBot="1" x14ac:dyDescent="0.3">
      <c r="B228" s="87"/>
      <c r="C228" s="87"/>
      <c r="D228" s="87"/>
      <c r="E228" s="87"/>
      <c r="F228" s="87"/>
      <c r="G228" s="87"/>
      <c r="H228" s="88"/>
      <c r="I228" s="88"/>
      <c r="J228" s="89"/>
      <c r="K228" s="89"/>
      <c r="L228" s="89"/>
      <c r="M228" s="89"/>
    </row>
    <row r="229" spans="1:21" ht="13.8" thickBot="1" x14ac:dyDescent="0.3">
      <c r="B229" s="87"/>
      <c r="C229" s="87" t="s">
        <v>247</v>
      </c>
      <c r="D229" s="89"/>
      <c r="E229" s="87"/>
      <c r="F229" s="96">
        <f>'Gårdens info'!G22*'Gårdens info'!D22</f>
        <v>17000</v>
      </c>
      <c r="G229" s="87" t="s">
        <v>21</v>
      </c>
      <c r="H229" s="99">
        <v>0.15</v>
      </c>
      <c r="I229" s="88" t="s">
        <v>6</v>
      </c>
      <c r="J229" s="90">
        <f t="shared" ref="J229:J231" si="21">F229*H229</f>
        <v>2550</v>
      </c>
      <c r="K229" s="87" t="s">
        <v>14</v>
      </c>
      <c r="L229" s="89"/>
      <c r="M229" s="89"/>
    </row>
    <row r="230" spans="1:21" ht="13.8" thickBot="1" x14ac:dyDescent="0.3">
      <c r="B230" s="87"/>
      <c r="C230" s="87" t="s">
        <v>292</v>
      </c>
      <c r="D230" s="87"/>
      <c r="E230" s="87"/>
      <c r="F230" s="96"/>
      <c r="G230" s="87" t="s">
        <v>21</v>
      </c>
      <c r="H230" s="99"/>
      <c r="I230" s="88" t="s">
        <v>6</v>
      </c>
      <c r="J230" s="90">
        <f t="shared" si="21"/>
        <v>0</v>
      </c>
      <c r="K230" s="87" t="s">
        <v>14</v>
      </c>
      <c r="L230" s="89"/>
      <c r="M230" s="89"/>
    </row>
    <row r="231" spans="1:21" ht="13.8" thickBot="1" x14ac:dyDescent="0.3">
      <c r="B231" s="87"/>
      <c r="C231" s="87" t="s">
        <v>292</v>
      </c>
      <c r="D231" s="87"/>
      <c r="E231" s="87"/>
      <c r="F231" s="96"/>
      <c r="G231" s="87" t="s">
        <v>21</v>
      </c>
      <c r="H231" s="99"/>
      <c r="I231" s="88" t="s">
        <v>6</v>
      </c>
      <c r="J231" s="90">
        <f t="shared" si="21"/>
        <v>0</v>
      </c>
      <c r="K231" s="87" t="s">
        <v>14</v>
      </c>
      <c r="L231" s="89"/>
      <c r="M231" s="89"/>
    </row>
    <row r="232" spans="1:21" s="8" customFormat="1" x14ac:dyDescent="0.25">
      <c r="A232" s="244"/>
      <c r="B232" s="250"/>
      <c r="C232" s="250" t="s">
        <v>196</v>
      </c>
      <c r="D232" s="250"/>
      <c r="E232" s="250"/>
      <c r="F232" s="251"/>
      <c r="G232" s="250"/>
      <c r="H232" s="252"/>
      <c r="I232" s="253"/>
      <c r="J232" s="254">
        <f>SUM(J229:J231)</f>
        <v>2550</v>
      </c>
      <c r="K232" s="250" t="s">
        <v>14</v>
      </c>
      <c r="L232" s="250"/>
      <c r="M232" s="250"/>
      <c r="N232"/>
      <c r="O232"/>
      <c r="P232"/>
      <c r="Q232"/>
      <c r="R232"/>
      <c r="S232"/>
      <c r="T232"/>
      <c r="U232"/>
    </row>
    <row r="233" spans="1:21" x14ac:dyDescent="0.25">
      <c r="B233" s="87"/>
      <c r="C233" s="87"/>
      <c r="D233" s="87"/>
      <c r="E233" s="87"/>
      <c r="F233" s="87"/>
      <c r="G233" s="87"/>
      <c r="H233" s="88"/>
      <c r="I233" s="88"/>
      <c r="J233" s="90"/>
      <c r="K233" s="87"/>
      <c r="L233" s="89"/>
      <c r="M233" s="89"/>
    </row>
    <row r="234" spans="1:21" ht="37.049999999999997" customHeight="1" x14ac:dyDescent="0.25">
      <c r="N234" s="8"/>
    </row>
    <row r="235" spans="1:21" ht="15.6" x14ac:dyDescent="0.3">
      <c r="B235" s="219" t="s">
        <v>448</v>
      </c>
      <c r="C235" s="220"/>
      <c r="D235" s="220"/>
      <c r="E235" s="220"/>
      <c r="F235" s="964" t="s">
        <v>159</v>
      </c>
      <c r="G235" s="964"/>
      <c r="H235" s="964" t="s">
        <v>158</v>
      </c>
      <c r="I235" s="964"/>
      <c r="J235" s="964" t="s">
        <v>273</v>
      </c>
      <c r="K235" s="964"/>
      <c r="L235" s="222"/>
      <c r="M235" s="222"/>
      <c r="O235" s="8"/>
      <c r="P235" s="8"/>
      <c r="Q235" s="8"/>
      <c r="R235" s="8"/>
      <c r="S235" s="8"/>
      <c r="T235" s="8"/>
      <c r="U235" s="8"/>
    </row>
    <row r="236" spans="1:21" ht="13.8" thickBot="1" x14ac:dyDescent="0.3">
      <c r="B236" s="220"/>
      <c r="C236" s="220"/>
      <c r="D236" s="220"/>
      <c r="E236" s="220"/>
      <c r="F236" s="220"/>
      <c r="G236" s="220"/>
      <c r="H236" s="221"/>
      <c r="I236" s="221"/>
      <c r="J236" s="222"/>
      <c r="K236" s="222"/>
      <c r="L236" s="222"/>
      <c r="M236" s="222"/>
    </row>
    <row r="237" spans="1:21" ht="13.8" thickBot="1" x14ac:dyDescent="0.3">
      <c r="B237" s="220"/>
      <c r="C237" s="220" t="s">
        <v>307</v>
      </c>
      <c r="D237" s="222"/>
      <c r="E237" s="220"/>
      <c r="F237" s="96"/>
      <c r="G237" s="220" t="s">
        <v>0</v>
      </c>
      <c r="H237" s="99"/>
      <c r="I237" s="221" t="s">
        <v>14</v>
      </c>
      <c r="J237" s="223">
        <f t="shared" ref="J237:J239" si="22">F237*H237</f>
        <v>0</v>
      </c>
      <c r="K237" s="220" t="s">
        <v>14</v>
      </c>
      <c r="L237" s="222"/>
      <c r="M237" s="222"/>
    </row>
    <row r="238" spans="1:21" ht="13.8" thickBot="1" x14ac:dyDescent="0.3">
      <c r="B238" s="220"/>
      <c r="C238" s="220" t="s">
        <v>292</v>
      </c>
      <c r="D238" s="220"/>
      <c r="E238" s="220"/>
      <c r="F238" s="96"/>
      <c r="G238" s="220" t="s">
        <v>0</v>
      </c>
      <c r="H238" s="99"/>
      <c r="I238" s="221" t="s">
        <v>14</v>
      </c>
      <c r="J238" s="223">
        <f t="shared" si="22"/>
        <v>0</v>
      </c>
      <c r="K238" s="220" t="s">
        <v>14</v>
      </c>
      <c r="L238" s="222"/>
      <c r="M238" s="222"/>
    </row>
    <row r="239" spans="1:21" ht="13.8" thickBot="1" x14ac:dyDescent="0.3">
      <c r="B239" s="220"/>
      <c r="C239" s="220" t="s">
        <v>292</v>
      </c>
      <c r="D239" s="220"/>
      <c r="E239" s="220"/>
      <c r="F239" s="96"/>
      <c r="G239" s="220" t="s">
        <v>0</v>
      </c>
      <c r="H239" s="99"/>
      <c r="I239" s="221" t="s">
        <v>14</v>
      </c>
      <c r="J239" s="223">
        <f t="shared" si="22"/>
        <v>0</v>
      </c>
      <c r="K239" s="220" t="s">
        <v>14</v>
      </c>
      <c r="L239" s="222"/>
      <c r="M239" s="222"/>
    </row>
    <row r="240" spans="1:21" s="8" customFormat="1" x14ac:dyDescent="0.25">
      <c r="A240" s="244"/>
      <c r="B240" s="255"/>
      <c r="C240" s="255" t="s">
        <v>196</v>
      </c>
      <c r="D240" s="255"/>
      <c r="E240" s="255"/>
      <c r="F240" s="256"/>
      <c r="G240" s="255"/>
      <c r="H240" s="257"/>
      <c r="I240" s="258"/>
      <c r="J240" s="259">
        <f>SUM(J237:J239)</f>
        <v>0</v>
      </c>
      <c r="K240" s="255" t="s">
        <v>14</v>
      </c>
      <c r="L240" s="255"/>
      <c r="M240" s="255"/>
      <c r="N240"/>
      <c r="O240"/>
      <c r="P240"/>
      <c r="Q240"/>
      <c r="R240"/>
      <c r="S240"/>
      <c r="T240"/>
      <c r="U240"/>
    </row>
    <row r="241" spans="1:21" x14ac:dyDescent="0.25">
      <c r="B241" s="220"/>
      <c r="C241" s="220"/>
      <c r="D241" s="220"/>
      <c r="E241" s="220"/>
      <c r="F241" s="220"/>
      <c r="G241" s="220"/>
      <c r="H241" s="221"/>
      <c r="I241" s="221"/>
      <c r="J241" s="223"/>
      <c r="K241" s="220"/>
      <c r="L241" s="222"/>
      <c r="M241" s="222"/>
    </row>
    <row r="242" spans="1:21" ht="33" customHeight="1" x14ac:dyDescent="0.25">
      <c r="N242" s="8"/>
    </row>
    <row r="243" spans="1:21" ht="15.6" x14ac:dyDescent="0.3">
      <c r="B243" s="225" t="s">
        <v>449</v>
      </c>
      <c r="C243" s="226"/>
      <c r="D243" s="226"/>
      <c r="E243" s="227"/>
      <c r="F243" s="226" t="s">
        <v>159</v>
      </c>
      <c r="G243" s="228"/>
      <c r="H243" s="228" t="s">
        <v>158</v>
      </c>
      <c r="I243" s="226"/>
      <c r="J243" s="226"/>
      <c r="K243" s="229"/>
      <c r="L243" s="229"/>
      <c r="M243" s="229"/>
      <c r="N243" s="8"/>
      <c r="O243" s="8"/>
      <c r="P243" s="8"/>
      <c r="Q243" s="8"/>
      <c r="R243" s="8"/>
      <c r="S243" s="8"/>
      <c r="T243" s="8"/>
      <c r="U243" s="8"/>
    </row>
    <row r="244" spans="1:21" ht="16.2" thickBot="1" x14ac:dyDescent="0.35">
      <c r="B244" s="225"/>
      <c r="C244" s="226"/>
      <c r="D244" s="226"/>
      <c r="E244" s="227"/>
      <c r="F244" s="226"/>
      <c r="G244" s="228"/>
      <c r="H244" s="228"/>
      <c r="I244" s="226"/>
      <c r="J244" s="226"/>
      <c r="K244" s="229"/>
      <c r="L244" s="229"/>
      <c r="M244" s="229"/>
      <c r="N244" s="8"/>
      <c r="O244" s="8"/>
      <c r="P244" s="8"/>
      <c r="Q244" s="8"/>
      <c r="R244" s="8"/>
      <c r="S244" s="8"/>
      <c r="T244" s="8"/>
      <c r="U244" s="8"/>
    </row>
    <row r="245" spans="1:21" ht="15" customHeight="1" thickBot="1" x14ac:dyDescent="0.3">
      <c r="B245" s="226"/>
      <c r="C245" s="226" t="s">
        <v>296</v>
      </c>
      <c r="D245" s="229"/>
      <c r="E245" s="230"/>
      <c r="F245" s="96">
        <v>1000</v>
      </c>
      <c r="G245" s="231" t="s">
        <v>18</v>
      </c>
      <c r="H245" s="96">
        <v>0.15</v>
      </c>
      <c r="I245" s="232" t="s">
        <v>10</v>
      </c>
      <c r="J245" s="229">
        <f>H245*F245</f>
        <v>150</v>
      </c>
      <c r="K245" s="232" t="s">
        <v>14</v>
      </c>
      <c r="L245" s="229"/>
      <c r="M245" s="229"/>
      <c r="O245" s="8"/>
      <c r="P245" s="8"/>
      <c r="Q245" s="8"/>
      <c r="R245" s="8"/>
      <c r="S245" s="8"/>
      <c r="T245" s="8"/>
      <c r="U245" s="8"/>
    </row>
    <row r="246" spans="1:21" ht="13.8" thickBot="1" x14ac:dyDescent="0.3">
      <c r="B246" s="226"/>
      <c r="C246" s="226" t="s">
        <v>450</v>
      </c>
      <c r="D246" s="232">
        <f>F278/2</f>
        <v>90.5</v>
      </c>
      <c r="E246" s="226" t="s">
        <v>9</v>
      </c>
      <c r="F246" s="96">
        <v>100</v>
      </c>
      <c r="G246" s="228" t="s">
        <v>20</v>
      </c>
      <c r="H246" s="96">
        <v>1.5</v>
      </c>
      <c r="I246" s="232" t="s">
        <v>5</v>
      </c>
      <c r="J246" s="229">
        <f>H246*F246</f>
        <v>150</v>
      </c>
      <c r="K246" s="232" t="s">
        <v>14</v>
      </c>
      <c r="L246" s="229"/>
      <c r="M246" s="229"/>
    </row>
    <row r="247" spans="1:21" ht="13.8" thickBot="1" x14ac:dyDescent="0.3">
      <c r="B247" s="226"/>
      <c r="C247" s="226" t="s">
        <v>298</v>
      </c>
      <c r="D247" s="232">
        <f>D246</f>
        <v>90.5</v>
      </c>
      <c r="E247" s="226" t="s">
        <v>9</v>
      </c>
      <c r="F247" s="96">
        <v>1</v>
      </c>
      <c r="G247" s="228" t="s">
        <v>21</v>
      </c>
      <c r="H247" s="96">
        <v>400</v>
      </c>
      <c r="I247" s="232" t="s">
        <v>6</v>
      </c>
      <c r="J247" s="229">
        <f t="shared" ref="J247:J251" si="23">H247*F247</f>
        <v>400</v>
      </c>
      <c r="K247" s="232" t="s">
        <v>14</v>
      </c>
      <c r="L247" s="229"/>
      <c r="M247" s="229"/>
    </row>
    <row r="248" spans="1:21" ht="13.8" thickBot="1" x14ac:dyDescent="0.3">
      <c r="B248" s="226"/>
      <c r="C248" s="226" t="s">
        <v>97</v>
      </c>
      <c r="D248" s="229"/>
      <c r="E248" s="232"/>
      <c r="F248" s="96">
        <v>300</v>
      </c>
      <c r="G248" s="228" t="s">
        <v>20</v>
      </c>
      <c r="H248" s="96">
        <v>2.2999999999999998</v>
      </c>
      <c r="I248" s="232" t="s">
        <v>5</v>
      </c>
      <c r="J248" s="229">
        <f t="shared" si="23"/>
        <v>690</v>
      </c>
      <c r="K248" s="232" t="s">
        <v>14</v>
      </c>
      <c r="L248" s="229"/>
      <c r="M248" s="229"/>
    </row>
    <row r="249" spans="1:21" ht="13.8" thickBot="1" x14ac:dyDescent="0.3">
      <c r="B249" s="226"/>
      <c r="C249" s="226" t="s">
        <v>299</v>
      </c>
      <c r="D249" s="229"/>
      <c r="E249" s="232"/>
      <c r="F249" s="96">
        <v>1.48</v>
      </c>
      <c r="G249" s="228" t="s">
        <v>20</v>
      </c>
      <c r="H249" s="96">
        <v>1.6</v>
      </c>
      <c r="I249" s="232" t="s">
        <v>5</v>
      </c>
      <c r="J249" s="229">
        <f t="shared" si="23"/>
        <v>2.3679999999999999</v>
      </c>
      <c r="K249" s="232" t="s">
        <v>14</v>
      </c>
      <c r="L249" s="229"/>
      <c r="M249" s="229"/>
    </row>
    <row r="250" spans="1:21" ht="13.8" thickBot="1" x14ac:dyDescent="0.3">
      <c r="B250" s="226"/>
      <c r="C250" s="226" t="s">
        <v>300</v>
      </c>
      <c r="D250" s="229"/>
      <c r="E250" s="232"/>
      <c r="F250" s="96"/>
      <c r="G250" s="228"/>
      <c r="H250" s="96"/>
      <c r="I250" s="232"/>
      <c r="J250" s="229">
        <f t="shared" si="23"/>
        <v>0</v>
      </c>
      <c r="K250" s="232" t="s">
        <v>14</v>
      </c>
      <c r="L250" s="229"/>
      <c r="M250" s="229"/>
    </row>
    <row r="251" spans="1:21" ht="13.8" thickBot="1" x14ac:dyDescent="0.3">
      <c r="B251" s="229"/>
      <c r="C251" s="226" t="s">
        <v>300</v>
      </c>
      <c r="D251" s="229"/>
      <c r="E251" s="229"/>
      <c r="F251" s="96"/>
      <c r="G251" s="229"/>
      <c r="H251" s="96"/>
      <c r="I251" s="229"/>
      <c r="J251" s="229">
        <f t="shared" si="23"/>
        <v>0</v>
      </c>
      <c r="K251" s="232" t="s">
        <v>14</v>
      </c>
      <c r="L251" s="229"/>
      <c r="M251" s="229"/>
    </row>
    <row r="252" spans="1:21" s="8" customFormat="1" x14ac:dyDescent="0.25">
      <c r="A252" s="244"/>
      <c r="B252" s="260"/>
      <c r="C252" s="260" t="s">
        <v>196</v>
      </c>
      <c r="D252" s="260"/>
      <c r="E252" s="260"/>
      <c r="F252" s="261"/>
      <c r="G252" s="260"/>
      <c r="H252" s="261"/>
      <c r="I252" s="260"/>
      <c r="J252" s="260">
        <f>SUM(J245:J251)</f>
        <v>1392.3679999999999</v>
      </c>
      <c r="K252" s="262" t="s">
        <v>14</v>
      </c>
      <c r="L252" s="260"/>
      <c r="M252" s="260"/>
      <c r="N252"/>
      <c r="O252"/>
      <c r="P252"/>
      <c r="Q252"/>
      <c r="R252"/>
      <c r="S252"/>
      <c r="T252"/>
      <c r="U252"/>
    </row>
    <row r="253" spans="1:21" x14ac:dyDescent="0.25">
      <c r="B253" s="229"/>
      <c r="C253" s="229"/>
      <c r="D253" s="229"/>
      <c r="E253" s="229"/>
      <c r="F253" s="229"/>
      <c r="G253" s="229"/>
      <c r="H253" s="229"/>
      <c r="I253" s="229"/>
      <c r="J253" s="229"/>
      <c r="K253" s="229"/>
      <c r="L253" s="229"/>
      <c r="M253" s="229"/>
    </row>
    <row r="254" spans="1:21" x14ac:dyDescent="0.25">
      <c r="N254" s="8"/>
    </row>
    <row r="255" spans="1:21" ht="15.6" x14ac:dyDescent="0.3">
      <c r="B255" s="112" t="s">
        <v>451</v>
      </c>
      <c r="C255" s="101"/>
      <c r="D255" s="101"/>
      <c r="E255" s="101"/>
      <c r="F255" s="101"/>
      <c r="G255" s="101"/>
      <c r="H255" s="101"/>
      <c r="I255" s="101"/>
      <c r="J255" s="101"/>
      <c r="K255" s="101"/>
      <c r="L255" s="101"/>
      <c r="M255" s="101"/>
      <c r="O255" s="8"/>
      <c r="P255" s="8"/>
      <c r="Q255" s="8"/>
      <c r="R255" s="8"/>
      <c r="S255" s="8"/>
      <c r="T255" s="8"/>
      <c r="U255" s="8"/>
    </row>
    <row r="256" spans="1:21" ht="15.6" x14ac:dyDescent="0.3">
      <c r="B256" s="112"/>
      <c r="C256" s="101"/>
      <c r="D256" s="101"/>
      <c r="E256" s="101"/>
      <c r="F256" s="101"/>
      <c r="G256" s="101"/>
      <c r="H256" s="101"/>
      <c r="I256" s="101"/>
      <c r="J256" s="101"/>
      <c r="K256" s="101"/>
      <c r="L256" s="101"/>
      <c r="M256" s="101"/>
    </row>
    <row r="257" spans="2:13" ht="46.95" customHeight="1" x14ac:dyDescent="0.25">
      <c r="B257" s="961" t="s">
        <v>302</v>
      </c>
      <c r="C257" s="961"/>
      <c r="D257" s="961"/>
      <c r="E257" s="961"/>
      <c r="F257" s="961"/>
      <c r="G257" s="961"/>
      <c r="H257" s="961"/>
      <c r="I257" s="961"/>
      <c r="J257" s="961"/>
      <c r="K257" s="961"/>
      <c r="L257" s="961"/>
      <c r="M257" s="961"/>
    </row>
    <row r="258" spans="2:13" ht="15.6" x14ac:dyDescent="0.3">
      <c r="B258" s="112"/>
      <c r="C258" s="101"/>
      <c r="D258" s="101"/>
      <c r="E258" s="108"/>
      <c r="F258" s="108"/>
      <c r="G258" s="108"/>
      <c r="H258" s="107"/>
      <c r="I258" s="107"/>
      <c r="J258" s="108"/>
      <c r="K258" s="108"/>
      <c r="L258" s="107"/>
      <c r="M258" s="107"/>
    </row>
    <row r="259" spans="2:13" ht="15.6" x14ac:dyDescent="0.3">
      <c r="B259" s="112"/>
      <c r="C259" s="101"/>
      <c r="D259" s="101"/>
      <c r="E259" s="962" t="s">
        <v>303</v>
      </c>
      <c r="F259" s="962"/>
      <c r="G259" s="962"/>
      <c r="H259" s="963" t="s">
        <v>158</v>
      </c>
      <c r="I259" s="963"/>
      <c r="J259" s="963" t="s">
        <v>304</v>
      </c>
      <c r="K259" s="963"/>
      <c r="L259" s="963" t="s">
        <v>158</v>
      </c>
      <c r="M259" s="963"/>
    </row>
    <row r="260" spans="2:13" ht="15.6" thickBot="1" x14ac:dyDescent="0.3">
      <c r="B260" s="100"/>
      <c r="C260" s="101"/>
      <c r="D260" s="101"/>
      <c r="E260" s="101"/>
      <c r="F260" s="101"/>
      <c r="G260" s="101"/>
      <c r="H260" s="101"/>
      <c r="I260" s="101"/>
      <c r="J260" s="101"/>
      <c r="K260" s="101"/>
      <c r="L260" s="101"/>
      <c r="M260" s="101"/>
    </row>
    <row r="261" spans="2:13" ht="13.8" thickBot="1" x14ac:dyDescent="0.3">
      <c r="B261" s="101"/>
      <c r="C261" s="102" t="s">
        <v>323</v>
      </c>
      <c r="D261" s="101"/>
      <c r="E261" s="101"/>
      <c r="F261" s="115">
        <v>1</v>
      </c>
      <c r="G261" s="104" t="s">
        <v>22</v>
      </c>
      <c r="H261" s="117">
        <v>14.5</v>
      </c>
      <c r="I261" s="104" t="s">
        <v>11</v>
      </c>
      <c r="J261" s="116"/>
      <c r="K261" s="104" t="s">
        <v>22</v>
      </c>
      <c r="L261" s="117">
        <v>14.5</v>
      </c>
      <c r="M261" s="104" t="s">
        <v>11</v>
      </c>
    </row>
    <row r="262" spans="2:13" ht="13.8" thickBot="1" x14ac:dyDescent="0.3">
      <c r="B262" s="101"/>
      <c r="C262" s="102" t="s">
        <v>423</v>
      </c>
      <c r="D262" s="101"/>
      <c r="E262" s="101"/>
      <c r="F262" s="115">
        <v>8</v>
      </c>
      <c r="G262" s="104" t="s">
        <v>22</v>
      </c>
      <c r="H262" s="114">
        <f>$H$261</f>
        <v>14.5</v>
      </c>
      <c r="I262" s="104" t="s">
        <v>11</v>
      </c>
      <c r="J262" s="116"/>
      <c r="K262" s="104" t="s">
        <v>22</v>
      </c>
      <c r="L262" s="114">
        <f t="shared" ref="L262:L277" si="24">$L$151</f>
        <v>14.5</v>
      </c>
      <c r="M262" s="104" t="s">
        <v>11</v>
      </c>
    </row>
    <row r="263" spans="2:13" ht="13.8" thickBot="1" x14ac:dyDescent="0.3">
      <c r="B263" s="101"/>
      <c r="C263" s="102" t="s">
        <v>452</v>
      </c>
      <c r="D263" s="101"/>
      <c r="E263" s="101"/>
      <c r="F263" s="115">
        <v>16</v>
      </c>
      <c r="G263" s="104" t="s">
        <v>22</v>
      </c>
      <c r="H263" s="114">
        <f t="shared" ref="H263:H277" si="25">$H$261</f>
        <v>14.5</v>
      </c>
      <c r="I263" s="104" t="s">
        <v>11</v>
      </c>
      <c r="J263" s="116"/>
      <c r="K263" s="104" t="s">
        <v>22</v>
      </c>
      <c r="L263" s="114">
        <f t="shared" si="24"/>
        <v>14.5</v>
      </c>
      <c r="M263" s="104" t="s">
        <v>11</v>
      </c>
    </row>
    <row r="264" spans="2:13" ht="13.8" thickBot="1" x14ac:dyDescent="0.3">
      <c r="B264" s="101"/>
      <c r="C264" s="102" t="s">
        <v>453</v>
      </c>
      <c r="D264" s="101"/>
      <c r="E264" s="101"/>
      <c r="F264" s="115">
        <v>16</v>
      </c>
      <c r="G264" s="104" t="s">
        <v>22</v>
      </c>
      <c r="H264" s="114">
        <f t="shared" si="25"/>
        <v>14.5</v>
      </c>
      <c r="I264" s="104" t="s">
        <v>11</v>
      </c>
      <c r="J264" s="116"/>
      <c r="K264" s="104" t="s">
        <v>22</v>
      </c>
      <c r="L264" s="114">
        <f t="shared" si="24"/>
        <v>14.5</v>
      </c>
      <c r="M264" s="104" t="s">
        <v>11</v>
      </c>
    </row>
    <row r="265" spans="2:13" ht="13.8" thickBot="1" x14ac:dyDescent="0.3">
      <c r="B265" s="101"/>
      <c r="C265" s="102" t="s">
        <v>427</v>
      </c>
      <c r="D265" s="101"/>
      <c r="E265" s="101"/>
      <c r="F265" s="115">
        <v>10</v>
      </c>
      <c r="G265" s="104" t="s">
        <v>22</v>
      </c>
      <c r="H265" s="114">
        <f t="shared" si="25"/>
        <v>14.5</v>
      </c>
      <c r="I265" s="104" t="s">
        <v>11</v>
      </c>
      <c r="J265" s="116">
        <v>80</v>
      </c>
      <c r="K265" s="104" t="s">
        <v>22</v>
      </c>
      <c r="L265" s="114">
        <f t="shared" si="24"/>
        <v>14.5</v>
      </c>
      <c r="M265" s="104" t="s">
        <v>11</v>
      </c>
    </row>
    <row r="266" spans="2:13" ht="13.8" thickBot="1" x14ac:dyDescent="0.3">
      <c r="B266" s="101"/>
      <c r="C266" s="102" t="s">
        <v>317</v>
      </c>
      <c r="D266" s="101"/>
      <c r="E266" s="101"/>
      <c r="F266" s="115">
        <v>4</v>
      </c>
      <c r="G266" s="104" t="s">
        <v>22</v>
      </c>
      <c r="H266" s="114">
        <f t="shared" si="25"/>
        <v>14.5</v>
      </c>
      <c r="I266" s="104" t="s">
        <v>11</v>
      </c>
      <c r="J266" s="116"/>
      <c r="K266" s="104" t="s">
        <v>22</v>
      </c>
      <c r="L266" s="114">
        <f t="shared" si="24"/>
        <v>14.5</v>
      </c>
      <c r="M266" s="104" t="s">
        <v>11</v>
      </c>
    </row>
    <row r="267" spans="2:13" ht="13.8" thickBot="1" x14ac:dyDescent="0.3">
      <c r="B267" s="101"/>
      <c r="C267" s="102" t="s">
        <v>132</v>
      </c>
      <c r="D267" s="101"/>
      <c r="E267" s="101"/>
      <c r="F267" s="115">
        <v>80</v>
      </c>
      <c r="G267" s="104" t="s">
        <v>22</v>
      </c>
      <c r="H267" s="114">
        <f t="shared" si="25"/>
        <v>14.5</v>
      </c>
      <c r="I267" s="104" t="s">
        <v>11</v>
      </c>
      <c r="J267" s="116">
        <v>80</v>
      </c>
      <c r="K267" s="104" t="s">
        <v>22</v>
      </c>
      <c r="L267" s="114">
        <f t="shared" si="24"/>
        <v>14.5</v>
      </c>
      <c r="M267" s="104" t="s">
        <v>11</v>
      </c>
    </row>
    <row r="268" spans="2:13" ht="13.8" thickBot="1" x14ac:dyDescent="0.3">
      <c r="B268" s="101"/>
      <c r="C268" s="102" t="s">
        <v>132</v>
      </c>
      <c r="D268" s="101"/>
      <c r="E268" s="101"/>
      <c r="F268" s="115"/>
      <c r="G268" s="104" t="s">
        <v>21</v>
      </c>
      <c r="H268" s="661">
        <v>1.5</v>
      </c>
      <c r="I268" s="104" t="s">
        <v>6</v>
      </c>
      <c r="J268" s="116">
        <v>10000</v>
      </c>
      <c r="K268" s="104" t="s">
        <v>21</v>
      </c>
      <c r="L268" s="661">
        <v>1.5</v>
      </c>
      <c r="M268" s="104" t="s">
        <v>6</v>
      </c>
    </row>
    <row r="269" spans="2:13" ht="13.8" thickBot="1" x14ac:dyDescent="0.3">
      <c r="B269" s="101"/>
      <c r="C269" s="102" t="s">
        <v>454</v>
      </c>
      <c r="D269" s="101"/>
      <c r="E269" s="101"/>
      <c r="F269" s="115">
        <v>20</v>
      </c>
      <c r="G269" s="104" t="s">
        <v>22</v>
      </c>
      <c r="H269" s="114">
        <f t="shared" si="25"/>
        <v>14.5</v>
      </c>
      <c r="I269" s="104" t="s">
        <v>11</v>
      </c>
      <c r="J269" s="116">
        <v>30</v>
      </c>
      <c r="K269" s="104" t="s">
        <v>22</v>
      </c>
      <c r="L269" s="114">
        <f t="shared" si="24"/>
        <v>14.5</v>
      </c>
      <c r="M269" s="104" t="s">
        <v>11</v>
      </c>
    </row>
    <row r="270" spans="2:13" ht="13.8" thickBot="1" x14ac:dyDescent="0.3">
      <c r="B270" s="101"/>
      <c r="C270" s="102" t="s">
        <v>428</v>
      </c>
      <c r="D270" s="101"/>
      <c r="E270" s="101"/>
      <c r="F270" s="115">
        <v>8</v>
      </c>
      <c r="G270" s="104" t="s">
        <v>22</v>
      </c>
      <c r="H270" s="114">
        <f t="shared" si="25"/>
        <v>14.5</v>
      </c>
      <c r="I270" s="104" t="s">
        <v>11</v>
      </c>
      <c r="J270" s="116"/>
      <c r="K270" s="104" t="s">
        <v>22</v>
      </c>
      <c r="L270" s="114">
        <f t="shared" si="24"/>
        <v>14.5</v>
      </c>
      <c r="M270" s="104" t="s">
        <v>11</v>
      </c>
    </row>
    <row r="271" spans="2:13" ht="13.8" thickBot="1" x14ac:dyDescent="0.3">
      <c r="B271" s="101"/>
      <c r="C271" s="102" t="s">
        <v>455</v>
      </c>
      <c r="D271" s="101"/>
      <c r="E271" s="101"/>
      <c r="F271" s="115">
        <v>3</v>
      </c>
      <c r="G271" s="104" t="s">
        <v>22</v>
      </c>
      <c r="H271" s="114">
        <f t="shared" si="25"/>
        <v>14.5</v>
      </c>
      <c r="I271" s="104" t="s">
        <v>11</v>
      </c>
      <c r="J271" s="116"/>
      <c r="K271" s="104" t="s">
        <v>22</v>
      </c>
      <c r="L271" s="114">
        <f t="shared" si="24"/>
        <v>14.5</v>
      </c>
      <c r="M271" s="104" t="s">
        <v>11</v>
      </c>
    </row>
    <row r="272" spans="2:13" ht="13.8" thickBot="1" x14ac:dyDescent="0.3">
      <c r="B272" s="101"/>
      <c r="C272" s="102" t="s">
        <v>456</v>
      </c>
      <c r="D272" s="101"/>
      <c r="E272" s="101"/>
      <c r="F272" s="116">
        <v>12</v>
      </c>
      <c r="G272" s="104" t="s">
        <v>22</v>
      </c>
      <c r="H272" s="114">
        <f t="shared" si="25"/>
        <v>14.5</v>
      </c>
      <c r="I272" s="104" t="s">
        <v>11</v>
      </c>
      <c r="J272" s="116"/>
      <c r="K272" s="104" t="s">
        <v>22</v>
      </c>
      <c r="L272" s="114">
        <f t="shared" si="24"/>
        <v>14.5</v>
      </c>
      <c r="M272" s="104" t="s">
        <v>11</v>
      </c>
    </row>
    <row r="273" spans="1:21" ht="13.8" thickBot="1" x14ac:dyDescent="0.3">
      <c r="B273" s="101"/>
      <c r="C273" s="102" t="s">
        <v>426</v>
      </c>
      <c r="D273" s="101"/>
      <c r="E273" s="101"/>
      <c r="F273" s="116"/>
      <c r="G273" s="104" t="s">
        <v>22</v>
      </c>
      <c r="H273" s="114">
        <f t="shared" si="25"/>
        <v>14.5</v>
      </c>
      <c r="I273" s="104" t="s">
        <v>11</v>
      </c>
      <c r="J273" s="116">
        <v>100</v>
      </c>
      <c r="K273" s="104" t="s">
        <v>22</v>
      </c>
      <c r="L273" s="114">
        <f t="shared" si="24"/>
        <v>14.5</v>
      </c>
      <c r="M273" s="104" t="s">
        <v>11</v>
      </c>
    </row>
    <row r="274" spans="1:21" ht="13.8" thickBot="1" x14ac:dyDescent="0.3">
      <c r="B274" s="101"/>
      <c r="C274" s="102" t="s">
        <v>457</v>
      </c>
      <c r="D274" s="101"/>
      <c r="E274" s="101"/>
      <c r="F274" s="116">
        <v>3</v>
      </c>
      <c r="G274" s="104" t="s">
        <v>22</v>
      </c>
      <c r="H274" s="114">
        <f t="shared" si="25"/>
        <v>14.5</v>
      </c>
      <c r="I274" s="104" t="s">
        <v>11</v>
      </c>
      <c r="J274" s="116"/>
      <c r="K274" s="104" t="s">
        <v>22</v>
      </c>
      <c r="L274" s="114">
        <f t="shared" si="24"/>
        <v>14.5</v>
      </c>
      <c r="M274" s="104" t="s">
        <v>11</v>
      </c>
    </row>
    <row r="275" spans="1:21" ht="13.8" thickBot="1" x14ac:dyDescent="0.3">
      <c r="B275" s="101"/>
      <c r="C275" s="102" t="s">
        <v>431</v>
      </c>
      <c r="D275" s="101"/>
      <c r="E275" s="101"/>
      <c r="F275" s="116"/>
      <c r="G275" s="104" t="s">
        <v>22</v>
      </c>
      <c r="H275" s="114">
        <f t="shared" si="25"/>
        <v>14.5</v>
      </c>
      <c r="I275" s="104" t="s">
        <v>11</v>
      </c>
      <c r="J275" s="97"/>
      <c r="K275" s="104" t="s">
        <v>22</v>
      </c>
      <c r="L275" s="114">
        <f t="shared" si="24"/>
        <v>14.5</v>
      </c>
      <c r="M275" s="104" t="s">
        <v>11</v>
      </c>
    </row>
    <row r="276" spans="1:21" ht="13.8" thickBot="1" x14ac:dyDescent="0.3">
      <c r="B276" s="101"/>
      <c r="C276" s="102" t="s">
        <v>431</v>
      </c>
      <c r="D276" s="101"/>
      <c r="E276" s="101"/>
      <c r="F276" s="116"/>
      <c r="G276" s="104" t="s">
        <v>22</v>
      </c>
      <c r="H276" s="114">
        <f t="shared" si="25"/>
        <v>14.5</v>
      </c>
      <c r="I276" s="104" t="s">
        <v>11</v>
      </c>
      <c r="J276" s="97"/>
      <c r="K276" s="104" t="s">
        <v>22</v>
      </c>
      <c r="L276" s="114">
        <f t="shared" si="24"/>
        <v>14.5</v>
      </c>
      <c r="M276" s="104" t="s">
        <v>11</v>
      </c>
    </row>
    <row r="277" spans="1:21" ht="13.8" thickBot="1" x14ac:dyDescent="0.3">
      <c r="B277" s="101"/>
      <c r="C277" s="102" t="s">
        <v>431</v>
      </c>
      <c r="D277" s="103"/>
      <c r="E277" s="103"/>
      <c r="F277" s="97"/>
      <c r="G277" s="104" t="s">
        <v>22</v>
      </c>
      <c r="H277" s="114">
        <f t="shared" si="25"/>
        <v>14.5</v>
      </c>
      <c r="I277" s="104" t="s">
        <v>11</v>
      </c>
      <c r="J277" s="97"/>
      <c r="K277" s="104" t="s">
        <v>22</v>
      </c>
      <c r="L277" s="114">
        <f t="shared" si="24"/>
        <v>14.5</v>
      </c>
      <c r="M277" s="104" t="s">
        <v>11</v>
      </c>
    </row>
    <row r="278" spans="1:21" s="8" customFormat="1" x14ac:dyDescent="0.25">
      <c r="A278" s="244"/>
      <c r="B278" s="264"/>
      <c r="C278" s="265" t="s">
        <v>196</v>
      </c>
      <c r="D278" s="266"/>
      <c r="E278" s="266"/>
      <c r="F278" s="267">
        <f>SUM(F261:F267)+SUM(F269:F277)</f>
        <v>181</v>
      </c>
      <c r="G278" s="264" t="s">
        <v>22</v>
      </c>
      <c r="H278" s="268">
        <f>F278*H261+F268*H268</f>
        <v>2624.5</v>
      </c>
      <c r="I278" s="264" t="s">
        <v>14</v>
      </c>
      <c r="J278" s="269">
        <f>SUM(J261:J267)+SUM(J269:J277)</f>
        <v>290</v>
      </c>
      <c r="K278" s="264" t="s">
        <v>22</v>
      </c>
      <c r="L278" s="268">
        <f>J278*L261+J268*L268</f>
        <v>19205</v>
      </c>
      <c r="M278" s="264" t="s">
        <v>14</v>
      </c>
      <c r="N278"/>
      <c r="O278"/>
      <c r="P278"/>
      <c r="Q278"/>
      <c r="R278"/>
      <c r="S278"/>
      <c r="T278"/>
      <c r="U278"/>
    </row>
    <row r="279" spans="1:21" ht="58.05" customHeight="1" thickBot="1" x14ac:dyDescent="0.3"/>
    <row r="280" spans="1:21" ht="21.6" thickBot="1" x14ac:dyDescent="0.45">
      <c r="B280" s="953" t="s">
        <v>395</v>
      </c>
      <c r="C280" s="954"/>
      <c r="D280" s="954"/>
      <c r="E280" s="955"/>
      <c r="L280" s="956" t="s">
        <v>458</v>
      </c>
      <c r="M280" s="956"/>
      <c r="N280" s="8"/>
    </row>
    <row r="281" spans="1:21" x14ac:dyDescent="0.25">
      <c r="O281" s="8"/>
      <c r="P281" s="8"/>
      <c r="Q281" s="8"/>
      <c r="R281" s="8"/>
      <c r="S281" s="8"/>
      <c r="T281" s="8"/>
      <c r="U281" s="8"/>
    </row>
    <row r="282" spans="1:21" s="91" customFormat="1" ht="49.95" customHeight="1" x14ac:dyDescent="0.25">
      <c r="A282" s="238"/>
      <c r="B282" s="974" t="s">
        <v>459</v>
      </c>
      <c r="C282" s="974"/>
      <c r="D282" s="974"/>
      <c r="E282" s="974"/>
      <c r="F282" s="974"/>
      <c r="G282" s="974"/>
      <c r="H282" s="974"/>
      <c r="I282" s="974"/>
      <c r="J282" s="974"/>
      <c r="K282" s="974"/>
      <c r="L282" s="974"/>
      <c r="M282" s="974"/>
      <c r="N282"/>
      <c r="O282"/>
      <c r="P282"/>
      <c r="Q282"/>
      <c r="R282"/>
      <c r="S282"/>
      <c r="T282"/>
      <c r="U282"/>
    </row>
    <row r="283" spans="1:21" ht="31.05" customHeight="1" x14ac:dyDescent="0.25"/>
    <row r="284" spans="1:21" ht="15.6" x14ac:dyDescent="0.3">
      <c r="B284" s="109" t="s">
        <v>460</v>
      </c>
      <c r="C284" s="72"/>
      <c r="D284" s="72"/>
      <c r="E284" s="72"/>
      <c r="F284" s="957" t="s">
        <v>159</v>
      </c>
      <c r="G284" s="957"/>
      <c r="H284" s="958" t="s">
        <v>158</v>
      </c>
      <c r="I284" s="958"/>
      <c r="J284" s="957" t="s">
        <v>273</v>
      </c>
      <c r="K284" s="957"/>
      <c r="L284" s="79"/>
      <c r="M284" s="79"/>
      <c r="N284" s="91"/>
    </row>
    <row r="285" spans="1:21" ht="15.6" x14ac:dyDescent="0.3">
      <c r="B285" s="109"/>
      <c r="C285" s="72"/>
      <c r="D285" s="462" t="s">
        <v>364</v>
      </c>
      <c r="E285" s="72"/>
      <c r="F285" s="478"/>
      <c r="G285" s="478"/>
      <c r="H285" s="475"/>
      <c r="I285" s="475"/>
      <c r="J285" s="478"/>
      <c r="K285" s="478"/>
      <c r="L285" s="79"/>
      <c r="M285" s="79"/>
      <c r="O285" s="91"/>
      <c r="P285" s="91"/>
      <c r="Q285" s="91"/>
      <c r="R285" s="91"/>
      <c r="S285" s="91"/>
      <c r="T285" s="91"/>
      <c r="U285" s="91"/>
    </row>
    <row r="286" spans="1:21" ht="55.05" customHeight="1" thickBot="1" x14ac:dyDescent="0.3">
      <c r="B286" s="214" t="s">
        <v>357</v>
      </c>
      <c r="C286" s="72"/>
      <c r="D286" s="72"/>
      <c r="E286" s="72"/>
      <c r="F286" s="74"/>
      <c r="G286" s="74"/>
      <c r="H286" s="73"/>
      <c r="I286" s="73"/>
      <c r="J286" s="79"/>
      <c r="K286" s="79"/>
      <c r="L286" s="79"/>
      <c r="M286" s="79"/>
      <c r="N286" s="5"/>
    </row>
    <row r="287" spans="1:21" ht="13.8" thickBot="1" x14ac:dyDescent="0.3">
      <c r="B287" s="72"/>
      <c r="C287" s="72" t="s">
        <v>413</v>
      </c>
      <c r="D287" s="79"/>
      <c r="E287" s="72"/>
      <c r="F287" s="119">
        <v>7</v>
      </c>
      <c r="G287" s="74" t="s">
        <v>20</v>
      </c>
      <c r="H287" s="99">
        <v>4.5</v>
      </c>
      <c r="I287" s="73" t="s">
        <v>5</v>
      </c>
      <c r="J287" s="79">
        <f t="shared" ref="J287:J289" si="26">F287*H287</f>
        <v>31.5</v>
      </c>
      <c r="K287" s="72" t="s">
        <v>14</v>
      </c>
      <c r="L287" s="79"/>
      <c r="M287" s="79"/>
      <c r="N287" s="5"/>
      <c r="O287" s="5"/>
    </row>
    <row r="288" spans="1:21" ht="13.8" thickBot="1" x14ac:dyDescent="0.3">
      <c r="B288" s="72"/>
      <c r="C288" s="72" t="s">
        <v>326</v>
      </c>
      <c r="D288" s="79"/>
      <c r="E288" s="72"/>
      <c r="F288" s="119"/>
      <c r="G288" s="74" t="s">
        <v>21</v>
      </c>
      <c r="H288" s="99"/>
      <c r="I288" s="73" t="s">
        <v>6</v>
      </c>
      <c r="J288" s="79">
        <f t="shared" si="26"/>
        <v>0</v>
      </c>
      <c r="K288" s="72" t="s">
        <v>14</v>
      </c>
      <c r="L288" s="79"/>
      <c r="M288" s="79"/>
      <c r="N288" s="5"/>
      <c r="O288" s="5"/>
    </row>
    <row r="289" spans="1:21" ht="13.8" thickBot="1" x14ac:dyDescent="0.3">
      <c r="B289" s="72"/>
      <c r="C289" s="72" t="s">
        <v>326</v>
      </c>
      <c r="D289" s="79"/>
      <c r="E289" s="72"/>
      <c r="F289" s="119"/>
      <c r="G289" s="74" t="s">
        <v>21</v>
      </c>
      <c r="H289" s="99"/>
      <c r="I289" s="73" t="s">
        <v>6</v>
      </c>
      <c r="J289" s="79">
        <f t="shared" si="26"/>
        <v>0</v>
      </c>
      <c r="K289" s="72" t="s">
        <v>14</v>
      </c>
      <c r="L289" s="79"/>
      <c r="M289" s="79"/>
      <c r="N289" s="5"/>
      <c r="O289" s="5"/>
    </row>
    <row r="290" spans="1:21" ht="13.8" thickBot="1" x14ac:dyDescent="0.3">
      <c r="B290" s="72"/>
      <c r="C290" s="72" t="s">
        <v>326</v>
      </c>
      <c r="D290" s="79"/>
      <c r="E290" s="72"/>
      <c r="F290" s="119"/>
      <c r="G290" s="74" t="s">
        <v>20</v>
      </c>
      <c r="H290" s="99"/>
      <c r="I290" s="73" t="s">
        <v>5</v>
      </c>
      <c r="J290" s="79"/>
      <c r="K290" s="72"/>
      <c r="L290" s="79"/>
      <c r="M290" s="79"/>
      <c r="N290" s="5"/>
      <c r="O290" s="5"/>
    </row>
    <row r="291" spans="1:21" ht="13.8" thickBot="1" x14ac:dyDescent="0.3">
      <c r="B291" s="72"/>
      <c r="C291" s="72" t="s">
        <v>326</v>
      </c>
      <c r="D291" s="72"/>
      <c r="E291" s="72"/>
      <c r="F291" s="119"/>
      <c r="G291" s="74" t="s">
        <v>20</v>
      </c>
      <c r="H291" s="99"/>
      <c r="I291" s="73" t="s">
        <v>5</v>
      </c>
      <c r="J291" s="79">
        <f t="shared" ref="J291:J292" si="27">F291*H291</f>
        <v>0</v>
      </c>
      <c r="K291" s="72" t="s">
        <v>14</v>
      </c>
      <c r="L291" s="79"/>
      <c r="M291" s="79"/>
      <c r="N291" s="5"/>
      <c r="O291" s="5"/>
    </row>
    <row r="292" spans="1:21" ht="13.8" thickBot="1" x14ac:dyDescent="0.3">
      <c r="B292" s="72"/>
      <c r="C292" s="72" t="s">
        <v>326</v>
      </c>
      <c r="D292" s="72"/>
      <c r="E292" s="72"/>
      <c r="F292" s="119"/>
      <c r="G292" s="74" t="s">
        <v>20</v>
      </c>
      <c r="H292" s="99"/>
      <c r="I292" s="73" t="s">
        <v>5</v>
      </c>
      <c r="J292" s="79">
        <f t="shared" si="27"/>
        <v>0</v>
      </c>
      <c r="K292" s="72" t="s">
        <v>14</v>
      </c>
      <c r="L292" s="79"/>
      <c r="M292" s="79"/>
      <c r="N292" s="5"/>
      <c r="O292" s="5"/>
    </row>
    <row r="293" spans="1:21" x14ac:dyDescent="0.25">
      <c r="B293" s="72"/>
      <c r="C293" s="72"/>
      <c r="D293" s="72"/>
      <c r="E293" s="72"/>
      <c r="F293" s="212"/>
      <c r="G293" s="74"/>
      <c r="H293" s="213"/>
      <c r="I293" s="73"/>
      <c r="J293" s="79"/>
      <c r="K293" s="72"/>
      <c r="L293" s="79"/>
      <c r="M293" s="79"/>
      <c r="N293" s="5"/>
      <c r="O293" s="5"/>
    </row>
    <row r="294" spans="1:21" ht="13.8" thickBot="1" x14ac:dyDescent="0.3">
      <c r="B294" s="214" t="s">
        <v>33</v>
      </c>
      <c r="C294" s="72"/>
      <c r="D294" s="72"/>
      <c r="E294" s="72"/>
      <c r="F294" s="212"/>
      <c r="G294" s="74"/>
      <c r="H294" s="213"/>
      <c r="I294" s="73"/>
      <c r="J294" s="79"/>
      <c r="K294" s="72"/>
      <c r="L294" s="79"/>
      <c r="M294" s="79"/>
      <c r="N294" s="5"/>
      <c r="O294" s="5"/>
    </row>
    <row r="295" spans="1:21" ht="13.8" thickBot="1" x14ac:dyDescent="0.3">
      <c r="A295" s="224"/>
      <c r="B295" s="72"/>
      <c r="C295" s="72" t="s">
        <v>436</v>
      </c>
      <c r="D295" s="72"/>
      <c r="E295" s="72"/>
      <c r="F295" s="98"/>
      <c r="G295" s="74" t="s">
        <v>153</v>
      </c>
      <c r="H295" s="593"/>
      <c r="I295" s="73" t="s">
        <v>152</v>
      </c>
      <c r="J295" s="79">
        <f t="shared" ref="J295:J296" si="28">F295*H295</f>
        <v>0</v>
      </c>
      <c r="K295" s="72" t="s">
        <v>14</v>
      </c>
      <c r="L295" s="79"/>
      <c r="M295" s="79"/>
      <c r="N295" s="5"/>
      <c r="O295" s="5"/>
    </row>
    <row r="296" spans="1:21" ht="13.8" thickBot="1" x14ac:dyDescent="0.3">
      <c r="A296" s="224"/>
      <c r="B296" s="72"/>
      <c r="C296" s="72" t="s">
        <v>86</v>
      </c>
      <c r="D296" s="72"/>
      <c r="E296" s="72"/>
      <c r="F296" s="119"/>
      <c r="G296" s="74" t="s">
        <v>21</v>
      </c>
      <c r="H296" s="119"/>
      <c r="I296" s="72" t="s">
        <v>6</v>
      </c>
      <c r="J296" s="79">
        <f t="shared" si="28"/>
        <v>0</v>
      </c>
      <c r="K296" s="72" t="s">
        <v>14</v>
      </c>
      <c r="L296" s="79"/>
      <c r="M296" s="79"/>
      <c r="N296" s="5"/>
      <c r="O296" s="5"/>
    </row>
    <row r="297" spans="1:21" ht="13.8" thickBot="1" x14ac:dyDescent="0.3">
      <c r="A297" s="224"/>
      <c r="B297" s="72"/>
      <c r="C297" s="72" t="s">
        <v>326</v>
      </c>
      <c r="D297" s="72"/>
      <c r="E297" s="72"/>
      <c r="F297" s="119"/>
      <c r="G297" s="74"/>
      <c r="H297" s="119"/>
      <c r="I297" s="241"/>
      <c r="J297" s="79"/>
      <c r="K297" s="72"/>
      <c r="L297" s="79"/>
      <c r="M297" s="79"/>
      <c r="N297" s="5"/>
      <c r="O297" s="5"/>
    </row>
    <row r="298" spans="1:21" ht="13.8" thickBot="1" x14ac:dyDescent="0.3">
      <c r="A298" s="224"/>
      <c r="B298" s="72"/>
      <c r="C298" s="72" t="s">
        <v>326</v>
      </c>
      <c r="D298" s="72"/>
      <c r="E298" s="72"/>
      <c r="F298" s="119"/>
      <c r="G298" s="74"/>
      <c r="H298" s="119"/>
      <c r="I298" s="241"/>
      <c r="J298" s="79">
        <f t="shared" ref="J298:J299" si="29">F298*H298</f>
        <v>0</v>
      </c>
      <c r="K298" s="72" t="s">
        <v>14</v>
      </c>
      <c r="L298" s="79"/>
      <c r="M298" s="79"/>
      <c r="N298" s="5"/>
      <c r="O298" s="5"/>
    </row>
    <row r="299" spans="1:21" ht="13.8" thickBot="1" x14ac:dyDescent="0.3">
      <c r="A299" s="224"/>
      <c r="B299" s="72"/>
      <c r="C299" s="72" t="s">
        <v>326</v>
      </c>
      <c r="D299" s="72"/>
      <c r="E299" s="72"/>
      <c r="F299" s="119"/>
      <c r="G299" s="74"/>
      <c r="H299" s="119"/>
      <c r="I299" s="73"/>
      <c r="J299" s="79">
        <f t="shared" si="29"/>
        <v>0</v>
      </c>
      <c r="K299" s="72" t="s">
        <v>14</v>
      </c>
      <c r="L299" s="79"/>
      <c r="M299" s="79"/>
      <c r="N299" s="5"/>
      <c r="O299" s="5"/>
    </row>
    <row r="300" spans="1:21" x14ac:dyDescent="0.25">
      <c r="A300" s="224"/>
      <c r="B300" s="241"/>
      <c r="C300" s="241" t="s">
        <v>196</v>
      </c>
      <c r="D300" s="241"/>
      <c r="E300" s="241"/>
      <c r="F300" s="273"/>
      <c r="G300" s="242"/>
      <c r="H300" s="273"/>
      <c r="I300" s="73"/>
      <c r="J300" s="241">
        <f>SUM(J287:J299)</f>
        <v>31.5</v>
      </c>
      <c r="K300" s="241" t="s">
        <v>14</v>
      </c>
      <c r="L300" s="241"/>
      <c r="M300" s="241"/>
      <c r="N300" s="5"/>
      <c r="O300" s="5"/>
    </row>
    <row r="301" spans="1:21" x14ac:dyDescent="0.25">
      <c r="A301" s="224"/>
      <c r="B301" s="241"/>
      <c r="C301" s="241"/>
      <c r="D301" s="241"/>
      <c r="E301" s="241"/>
      <c r="F301" s="273"/>
      <c r="G301" s="242"/>
      <c r="H301" s="273"/>
      <c r="I301" s="73"/>
      <c r="J301" s="241"/>
      <c r="K301" s="241"/>
      <c r="L301" s="241"/>
      <c r="M301" s="241"/>
      <c r="N301" s="5"/>
      <c r="O301" s="5"/>
    </row>
    <row r="302" spans="1:21" s="5" customFormat="1" ht="28.05" customHeight="1" x14ac:dyDescent="0.25">
      <c r="A302" s="281"/>
      <c r="B302" s="49"/>
      <c r="C302" s="49"/>
      <c r="D302" s="64"/>
      <c r="E302" s="49"/>
      <c r="F302" s="49"/>
      <c r="G302" s="61"/>
      <c r="H302" s="23"/>
      <c r="I302" s="23"/>
      <c r="J302" s="23"/>
      <c r="P302"/>
      <c r="Q302"/>
      <c r="R302"/>
      <c r="S302"/>
      <c r="T302"/>
      <c r="U302"/>
    </row>
    <row r="303" spans="1:21" ht="15.6" x14ac:dyDescent="0.3">
      <c r="B303" s="219" t="s">
        <v>461</v>
      </c>
      <c r="C303" s="220"/>
      <c r="D303" s="220"/>
      <c r="E303" s="220"/>
      <c r="F303" s="964" t="s">
        <v>159</v>
      </c>
      <c r="G303" s="964"/>
      <c r="H303" s="964" t="s">
        <v>158</v>
      </c>
      <c r="I303" s="964"/>
      <c r="J303" s="964" t="s">
        <v>273</v>
      </c>
      <c r="K303" s="964"/>
      <c r="L303" s="222"/>
      <c r="M303" s="222"/>
      <c r="N303" s="5"/>
      <c r="O303" s="5"/>
    </row>
    <row r="304" spans="1:21" ht="13.8" thickBot="1" x14ac:dyDescent="0.3">
      <c r="B304" s="220"/>
      <c r="C304" s="220"/>
      <c r="D304" s="220"/>
      <c r="E304" s="220"/>
      <c r="F304" s="220"/>
      <c r="G304" s="220"/>
      <c r="H304" s="221"/>
      <c r="I304" s="221"/>
      <c r="J304" s="222"/>
      <c r="K304" s="222"/>
      <c r="L304" s="222"/>
      <c r="M304" s="222"/>
      <c r="N304" s="5"/>
      <c r="O304" s="5"/>
    </row>
    <row r="305" spans="1:21" ht="13.8" thickBot="1" x14ac:dyDescent="0.3">
      <c r="B305" s="220"/>
      <c r="C305" s="220" t="s">
        <v>307</v>
      </c>
      <c r="D305" s="222"/>
      <c r="E305" s="220"/>
      <c r="F305" s="96">
        <v>1</v>
      </c>
      <c r="G305" s="220" t="s">
        <v>0</v>
      </c>
      <c r="H305" s="99">
        <v>73</v>
      </c>
      <c r="I305" s="221" t="s">
        <v>14</v>
      </c>
      <c r="J305" s="223">
        <f t="shared" ref="J305:J307" si="30">F305*H305</f>
        <v>73</v>
      </c>
      <c r="K305" s="220" t="s">
        <v>14</v>
      </c>
      <c r="L305" s="222"/>
      <c r="M305" s="222"/>
      <c r="O305" s="5"/>
      <c r="P305" s="5"/>
      <c r="Q305" s="5"/>
      <c r="R305" s="5"/>
      <c r="S305" s="5"/>
      <c r="T305" s="5"/>
      <c r="U305" s="5"/>
    </row>
    <row r="306" spans="1:21" ht="13.8" thickBot="1" x14ac:dyDescent="0.3">
      <c r="B306" s="220"/>
      <c r="C306" s="220" t="s">
        <v>292</v>
      </c>
      <c r="D306" s="220"/>
      <c r="E306" s="220"/>
      <c r="F306" s="96"/>
      <c r="G306" s="220" t="s">
        <v>0</v>
      </c>
      <c r="H306" s="99"/>
      <c r="I306" s="221" t="s">
        <v>14</v>
      </c>
      <c r="J306" s="223">
        <f t="shared" si="30"/>
        <v>0</v>
      </c>
      <c r="K306" s="220" t="s">
        <v>14</v>
      </c>
      <c r="L306" s="222"/>
      <c r="M306" s="222"/>
    </row>
    <row r="307" spans="1:21" ht="13.8" thickBot="1" x14ac:dyDescent="0.3">
      <c r="B307" s="220"/>
      <c r="C307" s="220" t="s">
        <v>292</v>
      </c>
      <c r="D307" s="220"/>
      <c r="E307" s="220"/>
      <c r="F307" s="96"/>
      <c r="G307" s="220" t="s">
        <v>0</v>
      </c>
      <c r="H307" s="99"/>
      <c r="I307" s="221" t="s">
        <v>14</v>
      </c>
      <c r="J307" s="223">
        <f t="shared" si="30"/>
        <v>0</v>
      </c>
      <c r="K307" s="220" t="s">
        <v>14</v>
      </c>
      <c r="L307" s="222"/>
      <c r="M307" s="222"/>
    </row>
    <row r="308" spans="1:21" s="8" customFormat="1" x14ac:dyDescent="0.25">
      <c r="A308" s="244"/>
      <c r="B308" s="255"/>
      <c r="C308" s="255" t="s">
        <v>196</v>
      </c>
      <c r="D308" s="255"/>
      <c r="E308" s="255"/>
      <c r="F308" s="256"/>
      <c r="G308" s="255"/>
      <c r="H308" s="257"/>
      <c r="I308" s="258"/>
      <c r="J308" s="259">
        <f>SUM(J305:J307)</f>
        <v>73</v>
      </c>
      <c r="K308" s="255" t="s">
        <v>14</v>
      </c>
      <c r="L308" s="255"/>
      <c r="M308" s="255"/>
      <c r="N308"/>
      <c r="O308"/>
      <c r="P308"/>
      <c r="Q308"/>
      <c r="R308"/>
      <c r="S308"/>
      <c r="T308"/>
      <c r="U308"/>
    </row>
    <row r="309" spans="1:21" x14ac:dyDescent="0.25">
      <c r="B309" s="220"/>
      <c r="C309" s="220"/>
      <c r="D309" s="220"/>
      <c r="E309" s="220"/>
      <c r="F309" s="220"/>
      <c r="G309" s="220"/>
      <c r="H309" s="221"/>
      <c r="I309" s="221"/>
      <c r="J309" s="223"/>
      <c r="K309" s="220"/>
      <c r="L309" s="222"/>
      <c r="M309" s="222"/>
    </row>
    <row r="310" spans="1:21" ht="33" customHeight="1" x14ac:dyDescent="0.25">
      <c r="N310" s="8"/>
    </row>
    <row r="311" spans="1:21" ht="16.2" thickBot="1" x14ac:dyDescent="0.35">
      <c r="B311" s="225" t="s">
        <v>462</v>
      </c>
      <c r="C311" s="226"/>
      <c r="D311" s="226"/>
      <c r="E311" s="227"/>
      <c r="F311" s="226"/>
      <c r="G311" s="228"/>
      <c r="H311" s="228"/>
      <c r="I311" s="226"/>
      <c r="J311" s="226"/>
      <c r="K311" s="229"/>
      <c r="L311" s="229"/>
      <c r="M311" s="229"/>
      <c r="O311" s="8"/>
      <c r="P311" s="8"/>
      <c r="Q311" s="8"/>
      <c r="R311" s="8"/>
      <c r="S311" s="8"/>
      <c r="T311" s="8"/>
      <c r="U311" s="8"/>
    </row>
    <row r="312" spans="1:21" ht="13.8" thickBot="1" x14ac:dyDescent="0.3">
      <c r="B312" s="226"/>
      <c r="C312" s="226" t="s">
        <v>463</v>
      </c>
      <c r="D312" s="229"/>
      <c r="E312" s="230"/>
      <c r="F312" s="96">
        <v>0.15</v>
      </c>
      <c r="G312" s="231" t="s">
        <v>10</v>
      </c>
      <c r="H312" s="96">
        <v>1000</v>
      </c>
      <c r="I312" s="232" t="s">
        <v>18</v>
      </c>
      <c r="J312" s="229">
        <f>F312*H312</f>
        <v>150</v>
      </c>
      <c r="K312" s="232" t="s">
        <v>14</v>
      </c>
      <c r="L312" s="229"/>
      <c r="M312" s="229"/>
    </row>
    <row r="313" spans="1:21" ht="13.8" thickBot="1" x14ac:dyDescent="0.3">
      <c r="B313" s="226"/>
      <c r="C313" s="226" t="s">
        <v>464</v>
      </c>
      <c r="D313" s="232">
        <f>F334/2</f>
        <v>19</v>
      </c>
      <c r="E313" s="226" t="s">
        <v>9</v>
      </c>
      <c r="F313" s="96">
        <v>0.83</v>
      </c>
      <c r="G313" s="228" t="s">
        <v>5</v>
      </c>
      <c r="H313" s="96">
        <v>20</v>
      </c>
      <c r="I313" s="232" t="s">
        <v>20</v>
      </c>
      <c r="J313" s="229">
        <f t="shared" ref="J313:J317" si="31">F313*H313</f>
        <v>16.599999999999998</v>
      </c>
      <c r="K313" s="232" t="s">
        <v>14</v>
      </c>
      <c r="L313" s="229"/>
      <c r="M313" s="229"/>
    </row>
    <row r="314" spans="1:21" ht="13.8" thickBot="1" x14ac:dyDescent="0.3">
      <c r="B314" s="226"/>
      <c r="C314" s="226" t="s">
        <v>298</v>
      </c>
      <c r="D314" s="232">
        <f>D313</f>
        <v>19</v>
      </c>
      <c r="E314" s="226" t="s">
        <v>9</v>
      </c>
      <c r="F314" s="96">
        <v>4</v>
      </c>
      <c r="G314" s="228" t="s">
        <v>6</v>
      </c>
      <c r="H314" s="96">
        <v>0.32</v>
      </c>
      <c r="I314" s="232" t="s">
        <v>21</v>
      </c>
      <c r="J314" s="229">
        <f t="shared" si="31"/>
        <v>1.28</v>
      </c>
      <c r="K314" s="232" t="s">
        <v>14</v>
      </c>
      <c r="L314" s="229"/>
      <c r="M314" s="229"/>
    </row>
    <row r="315" spans="1:21" ht="13.8" thickBot="1" x14ac:dyDescent="0.3">
      <c r="B315" s="226"/>
      <c r="C315" s="226" t="s">
        <v>19</v>
      </c>
      <c r="D315" s="229"/>
      <c r="E315" s="232"/>
      <c r="F315" s="96">
        <v>1.25</v>
      </c>
      <c r="G315" s="228" t="s">
        <v>5</v>
      </c>
      <c r="H315" s="96">
        <v>200</v>
      </c>
      <c r="I315" s="232" t="s">
        <v>20</v>
      </c>
      <c r="J315" s="229">
        <f t="shared" si="31"/>
        <v>250</v>
      </c>
      <c r="K315" s="232" t="s">
        <v>14</v>
      </c>
      <c r="L315" s="229"/>
      <c r="M315" s="229"/>
    </row>
    <row r="316" spans="1:21" ht="13.8" thickBot="1" x14ac:dyDescent="0.3">
      <c r="B316" s="226"/>
      <c r="C316" s="226" t="s">
        <v>299</v>
      </c>
      <c r="D316" s="229"/>
      <c r="E316" s="232"/>
      <c r="F316" s="96">
        <v>1.48</v>
      </c>
      <c r="G316" s="228" t="s">
        <v>5</v>
      </c>
      <c r="H316" s="96">
        <v>80</v>
      </c>
      <c r="I316" s="232" t="s">
        <v>20</v>
      </c>
      <c r="J316" s="229">
        <f t="shared" si="31"/>
        <v>118.4</v>
      </c>
      <c r="K316" s="232" t="s">
        <v>14</v>
      </c>
      <c r="L316" s="229"/>
      <c r="M316" s="229"/>
    </row>
    <row r="317" spans="1:21" ht="13.8" thickBot="1" x14ac:dyDescent="0.3">
      <c r="B317" s="229"/>
      <c r="C317" s="226" t="s">
        <v>465</v>
      </c>
      <c r="D317" s="229"/>
      <c r="E317" s="229"/>
      <c r="F317" s="96"/>
      <c r="G317" s="229"/>
      <c r="H317" s="96"/>
      <c r="I317" s="229"/>
      <c r="J317" s="229">
        <f t="shared" si="31"/>
        <v>0</v>
      </c>
      <c r="K317" s="232" t="s">
        <v>14</v>
      </c>
      <c r="L317" s="229"/>
      <c r="M317" s="229"/>
    </row>
    <row r="318" spans="1:21" s="8" customFormat="1" x14ac:dyDescent="0.25">
      <c r="A318" s="244"/>
      <c r="B318" s="260"/>
      <c r="C318" s="260" t="s">
        <v>196</v>
      </c>
      <c r="D318" s="260"/>
      <c r="E318" s="260"/>
      <c r="F318" s="261"/>
      <c r="G318" s="260"/>
      <c r="H318" s="261"/>
      <c r="I318" s="260"/>
      <c r="J318" s="260">
        <f>SUM(J312:J317)</f>
        <v>536.28</v>
      </c>
      <c r="K318" s="262" t="s">
        <v>14</v>
      </c>
      <c r="L318" s="260"/>
      <c r="M318" s="260"/>
      <c r="N318"/>
      <c r="O318"/>
      <c r="P318"/>
      <c r="Q318"/>
      <c r="R318"/>
      <c r="S318"/>
      <c r="T318"/>
      <c r="U318"/>
    </row>
    <row r="319" spans="1:21" x14ac:dyDescent="0.25">
      <c r="B319" s="229"/>
      <c r="C319" s="229"/>
      <c r="D319" s="229"/>
      <c r="E319" s="229"/>
      <c r="F319" s="229"/>
      <c r="G319" s="229"/>
      <c r="H319" s="229"/>
      <c r="I319" s="229"/>
      <c r="J319" s="229"/>
      <c r="K319" s="229"/>
      <c r="L319" s="229"/>
      <c r="M319" s="229"/>
    </row>
    <row r="320" spans="1:21" ht="40.049999999999997" customHeight="1" x14ac:dyDescent="0.25">
      <c r="N320" s="8"/>
    </row>
    <row r="321" spans="1:21" ht="15.6" x14ac:dyDescent="0.3">
      <c r="B321" s="112" t="s">
        <v>466</v>
      </c>
      <c r="C321" s="101"/>
      <c r="D321" s="101"/>
      <c r="E321" s="101"/>
      <c r="F321" s="101"/>
      <c r="G321" s="101"/>
      <c r="H321" s="101"/>
      <c r="I321" s="101"/>
      <c r="J321" s="101"/>
      <c r="K321" s="101"/>
      <c r="L321" s="101"/>
      <c r="M321" s="101"/>
      <c r="O321" s="8"/>
      <c r="P321" s="8"/>
      <c r="Q321" s="8"/>
      <c r="R321" s="8"/>
      <c r="S321" s="8"/>
      <c r="T321" s="8"/>
      <c r="U321" s="8"/>
    </row>
    <row r="322" spans="1:21" ht="15.6" x14ac:dyDescent="0.3">
      <c r="B322" s="112"/>
      <c r="C322" s="101"/>
      <c r="D322" s="101"/>
      <c r="E322" s="101"/>
      <c r="F322" s="101"/>
      <c r="G322" s="101"/>
      <c r="H322" s="101"/>
      <c r="I322" s="101"/>
      <c r="J322" s="101"/>
      <c r="K322" s="101"/>
      <c r="L322" s="101"/>
      <c r="M322" s="101"/>
    </row>
    <row r="323" spans="1:21" ht="37.950000000000003" customHeight="1" x14ac:dyDescent="0.25">
      <c r="B323" s="961" t="s">
        <v>302</v>
      </c>
      <c r="C323" s="961"/>
      <c r="D323" s="961"/>
      <c r="E323" s="961"/>
      <c r="F323" s="961"/>
      <c r="G323" s="961"/>
      <c r="H323" s="961"/>
      <c r="I323" s="961"/>
      <c r="J323" s="961"/>
      <c r="K323" s="961"/>
      <c r="L323" s="961"/>
      <c r="M323" s="961"/>
    </row>
    <row r="324" spans="1:21" ht="15.6" x14ac:dyDescent="0.3">
      <c r="B324" s="112"/>
      <c r="C324" s="101"/>
      <c r="D324" s="101"/>
      <c r="E324" s="834"/>
      <c r="F324" s="834"/>
      <c r="G324" s="834"/>
      <c r="H324" s="835"/>
      <c r="I324" s="835"/>
      <c r="J324" s="834"/>
      <c r="K324" s="834"/>
      <c r="L324" s="835"/>
      <c r="M324" s="835"/>
    </row>
    <row r="325" spans="1:21" ht="15.6" x14ac:dyDescent="0.3">
      <c r="B325" s="112"/>
      <c r="C325" s="101"/>
      <c r="D325" s="101"/>
      <c r="E325" s="962" t="s">
        <v>303</v>
      </c>
      <c r="F325" s="962"/>
      <c r="G325" s="962"/>
      <c r="H325" s="963" t="s">
        <v>158</v>
      </c>
      <c r="I325" s="963"/>
      <c r="J325" s="963" t="s">
        <v>304</v>
      </c>
      <c r="K325" s="963"/>
      <c r="L325" s="963" t="s">
        <v>158</v>
      </c>
      <c r="M325" s="963"/>
    </row>
    <row r="326" spans="1:21" ht="15.6" thickBot="1" x14ac:dyDescent="0.3">
      <c r="B326" s="100"/>
      <c r="C326" s="101"/>
      <c r="D326" s="101"/>
      <c r="E326" s="101"/>
      <c r="F326" s="101"/>
      <c r="G326" s="101"/>
      <c r="H326" s="101"/>
      <c r="I326" s="101"/>
      <c r="J326" s="101"/>
      <c r="K326" s="101"/>
      <c r="L326" s="101"/>
      <c r="M326" s="101"/>
    </row>
    <row r="327" spans="1:21" ht="13.8" thickBot="1" x14ac:dyDescent="0.3">
      <c r="B327" s="101"/>
      <c r="C327" s="102" t="s">
        <v>307</v>
      </c>
      <c r="D327" s="101"/>
      <c r="E327" s="101"/>
      <c r="F327" s="115">
        <v>0</v>
      </c>
      <c r="G327" s="104" t="s">
        <v>22</v>
      </c>
      <c r="H327" s="117">
        <v>14.5</v>
      </c>
      <c r="I327" s="104" t="s">
        <v>11</v>
      </c>
      <c r="J327" s="116"/>
      <c r="K327" s="104" t="s">
        <v>22</v>
      </c>
      <c r="L327" s="117">
        <v>14.5</v>
      </c>
      <c r="M327" s="104" t="s">
        <v>11</v>
      </c>
    </row>
    <row r="328" spans="1:21" ht="13.8" thickBot="1" x14ac:dyDescent="0.3">
      <c r="B328" s="101"/>
      <c r="C328" s="102" t="s">
        <v>467</v>
      </c>
      <c r="D328" s="101"/>
      <c r="E328" s="101"/>
      <c r="F328" s="115">
        <v>2</v>
      </c>
      <c r="G328" s="104" t="s">
        <v>22</v>
      </c>
      <c r="H328" s="114">
        <f>$H$327</f>
        <v>14.5</v>
      </c>
      <c r="I328" s="104" t="s">
        <v>11</v>
      </c>
      <c r="J328" s="116"/>
      <c r="K328" s="104" t="s">
        <v>22</v>
      </c>
      <c r="L328" s="114">
        <f>$L$327</f>
        <v>14.5</v>
      </c>
      <c r="M328" s="104" t="s">
        <v>11</v>
      </c>
    </row>
    <row r="329" spans="1:21" ht="13.8" thickBot="1" x14ac:dyDescent="0.3">
      <c r="B329" s="101"/>
      <c r="C329" s="102" t="s">
        <v>468</v>
      </c>
      <c r="D329" s="101"/>
      <c r="E329" s="101"/>
      <c r="F329" s="115">
        <v>32</v>
      </c>
      <c r="G329" s="104" t="s">
        <v>22</v>
      </c>
      <c r="H329" s="114">
        <f t="shared" ref="H329:H333" si="32">$H$327</f>
        <v>14.5</v>
      </c>
      <c r="I329" s="104" t="s">
        <v>11</v>
      </c>
      <c r="J329" s="116">
        <v>100</v>
      </c>
      <c r="K329" s="104" t="s">
        <v>22</v>
      </c>
      <c r="L329" s="114">
        <f t="shared" ref="L329:L333" si="33">$L$327</f>
        <v>14.5</v>
      </c>
      <c r="M329" s="104" t="s">
        <v>11</v>
      </c>
    </row>
    <row r="330" spans="1:21" ht="13.8" thickBot="1" x14ac:dyDescent="0.3">
      <c r="B330" s="101"/>
      <c r="C330" s="102" t="s">
        <v>317</v>
      </c>
      <c r="D330" s="101"/>
      <c r="E330" s="101"/>
      <c r="F330" s="115">
        <v>4</v>
      </c>
      <c r="G330" s="104" t="s">
        <v>22</v>
      </c>
      <c r="H330" s="114">
        <f t="shared" si="32"/>
        <v>14.5</v>
      </c>
      <c r="I330" s="104" t="s">
        <v>11</v>
      </c>
      <c r="J330" s="116"/>
      <c r="K330" s="104" t="s">
        <v>22</v>
      </c>
      <c r="L330" s="114">
        <f t="shared" si="33"/>
        <v>14.5</v>
      </c>
      <c r="M330" s="104" t="s">
        <v>11</v>
      </c>
    </row>
    <row r="331" spans="1:21" ht="13.8" thickBot="1" x14ac:dyDescent="0.3">
      <c r="B331" s="101"/>
      <c r="C331" s="102" t="s">
        <v>431</v>
      </c>
      <c r="D331" s="101"/>
      <c r="E331" s="101"/>
      <c r="F331" s="116"/>
      <c r="G331" s="104" t="s">
        <v>22</v>
      </c>
      <c r="H331" s="114">
        <f t="shared" si="32"/>
        <v>14.5</v>
      </c>
      <c r="I331" s="104" t="s">
        <v>11</v>
      </c>
      <c r="J331" s="97"/>
      <c r="K331" s="104" t="s">
        <v>22</v>
      </c>
      <c r="L331" s="114">
        <f t="shared" si="33"/>
        <v>14.5</v>
      </c>
      <c r="M331" s="104" t="s">
        <v>11</v>
      </c>
    </row>
    <row r="332" spans="1:21" ht="13.8" thickBot="1" x14ac:dyDescent="0.3">
      <c r="B332" s="101"/>
      <c r="C332" s="102" t="s">
        <v>431</v>
      </c>
      <c r="D332" s="101"/>
      <c r="E332" s="101"/>
      <c r="F332" s="116"/>
      <c r="G332" s="104" t="s">
        <v>22</v>
      </c>
      <c r="H332" s="114">
        <f t="shared" si="32"/>
        <v>14.5</v>
      </c>
      <c r="I332" s="104" t="s">
        <v>11</v>
      </c>
      <c r="J332" s="97"/>
      <c r="K332" s="104" t="s">
        <v>22</v>
      </c>
      <c r="L332" s="114">
        <f t="shared" si="33"/>
        <v>14.5</v>
      </c>
      <c r="M332" s="104" t="s">
        <v>11</v>
      </c>
    </row>
    <row r="333" spans="1:21" ht="13.8" thickBot="1" x14ac:dyDescent="0.3">
      <c r="B333" s="101"/>
      <c r="C333" s="102" t="s">
        <v>431</v>
      </c>
      <c r="D333" s="103"/>
      <c r="E333" s="103"/>
      <c r="F333" s="97"/>
      <c r="G333" s="104" t="s">
        <v>22</v>
      </c>
      <c r="H333" s="114">
        <f t="shared" si="32"/>
        <v>14.5</v>
      </c>
      <c r="I333" s="104" t="s">
        <v>11</v>
      </c>
      <c r="J333" s="97"/>
      <c r="K333" s="104" t="s">
        <v>22</v>
      </c>
      <c r="L333" s="114">
        <f t="shared" si="33"/>
        <v>14.5</v>
      </c>
      <c r="M333" s="104" t="s">
        <v>11</v>
      </c>
    </row>
    <row r="334" spans="1:21" s="8" customFormat="1" x14ac:dyDescent="0.25">
      <c r="A334" s="244"/>
      <c r="B334" s="264"/>
      <c r="C334" s="265" t="s">
        <v>196</v>
      </c>
      <c r="D334" s="266"/>
      <c r="E334" s="266"/>
      <c r="F334" s="267">
        <f>SUM(F327:F333)</f>
        <v>38</v>
      </c>
      <c r="G334" s="264" t="s">
        <v>22</v>
      </c>
      <c r="H334" s="268">
        <f>F334*H327</f>
        <v>551</v>
      </c>
      <c r="I334" s="264" t="s">
        <v>14</v>
      </c>
      <c r="J334" s="269">
        <f>SUM(J327:J333)</f>
        <v>100</v>
      </c>
      <c r="K334" s="264" t="s">
        <v>22</v>
      </c>
      <c r="L334" s="268">
        <f>J334*L327</f>
        <v>1450</v>
      </c>
      <c r="M334" s="264" t="s">
        <v>14</v>
      </c>
      <c r="N334"/>
      <c r="O334"/>
      <c r="P334"/>
      <c r="Q334"/>
      <c r="R334"/>
      <c r="S334"/>
      <c r="T334"/>
      <c r="U334"/>
    </row>
    <row r="336" spans="1:21" x14ac:dyDescent="0.25">
      <c r="N336" s="8"/>
    </row>
    <row r="337" spans="15:21" x14ac:dyDescent="0.25">
      <c r="O337" s="8"/>
      <c r="P337" s="8"/>
      <c r="Q337" s="8"/>
      <c r="R337" s="8"/>
      <c r="S337" s="8"/>
      <c r="T337" s="8"/>
      <c r="U337" s="8"/>
    </row>
  </sheetData>
  <mergeCells count="81">
    <mergeCell ref="B2:C2"/>
    <mergeCell ref="E149:G149"/>
    <mergeCell ref="J149:K149"/>
    <mergeCell ref="H149:I149"/>
    <mergeCell ref="J103:K103"/>
    <mergeCell ref="J92:K92"/>
    <mergeCell ref="H92:I92"/>
    <mergeCell ref="H103:I103"/>
    <mergeCell ref="F92:G92"/>
    <mergeCell ref="F103:G103"/>
    <mergeCell ref="B4:L4"/>
    <mergeCell ref="B90:E90"/>
    <mergeCell ref="B15:D15"/>
    <mergeCell ref="H112:I112"/>
    <mergeCell ref="J112:K112"/>
    <mergeCell ref="L149:M149"/>
    <mergeCell ref="L90:M90"/>
    <mergeCell ref="L174:M174"/>
    <mergeCell ref="F214:G214"/>
    <mergeCell ref="H214:I214"/>
    <mergeCell ref="J176:K176"/>
    <mergeCell ref="F206:G206"/>
    <mergeCell ref="H206:I206"/>
    <mergeCell ref="J206:K206"/>
    <mergeCell ref="F187:G187"/>
    <mergeCell ref="H187:I187"/>
    <mergeCell ref="J187:K187"/>
    <mergeCell ref="F112:G112"/>
    <mergeCell ref="B42:E42"/>
    <mergeCell ref="B47:C47"/>
    <mergeCell ref="C50:D50"/>
    <mergeCell ref="C57:D57"/>
    <mergeCell ref="J214:K214"/>
    <mergeCell ref="F127:G127"/>
    <mergeCell ref="H127:I127"/>
    <mergeCell ref="J127:K127"/>
    <mergeCell ref="E325:G325"/>
    <mergeCell ref="H325:I325"/>
    <mergeCell ref="J325:K325"/>
    <mergeCell ref="L325:M325"/>
    <mergeCell ref="B323:M323"/>
    <mergeCell ref="F303:G303"/>
    <mergeCell ref="H303:I303"/>
    <mergeCell ref="J303:K303"/>
    <mergeCell ref="B282:M282"/>
    <mergeCell ref="E259:G259"/>
    <mergeCell ref="H259:I259"/>
    <mergeCell ref="J259:K259"/>
    <mergeCell ref="L259:M259"/>
    <mergeCell ref="B280:E280"/>
    <mergeCell ref="L280:M280"/>
    <mergeCell ref="F284:G284"/>
    <mergeCell ref="H284:I284"/>
    <mergeCell ref="J284:K284"/>
    <mergeCell ref="T9:U9"/>
    <mergeCell ref="B73:D73"/>
    <mergeCell ref="B61:D61"/>
    <mergeCell ref="B54:D54"/>
    <mergeCell ref="B88:D88"/>
    <mergeCell ref="C64:D64"/>
    <mergeCell ref="B68:C68"/>
    <mergeCell ref="C71:D71"/>
    <mergeCell ref="B43:E43"/>
    <mergeCell ref="O9:Q9"/>
    <mergeCell ref="O18:Q18"/>
    <mergeCell ref="B86:D86"/>
    <mergeCell ref="B76:D76"/>
    <mergeCell ref="B44:D44"/>
    <mergeCell ref="B11:D11"/>
    <mergeCell ref="B84:D84"/>
    <mergeCell ref="B257:M257"/>
    <mergeCell ref="B147:M147"/>
    <mergeCell ref="F235:G235"/>
    <mergeCell ref="H235:I235"/>
    <mergeCell ref="J235:K235"/>
    <mergeCell ref="F176:G176"/>
    <mergeCell ref="H176:I176"/>
    <mergeCell ref="B174:E174"/>
    <mergeCell ref="F227:G227"/>
    <mergeCell ref="H227:I227"/>
    <mergeCell ref="J227:K227"/>
  </mergeCells>
  <phoneticPr fontId="2" type="noConversion"/>
  <hyperlinks>
    <hyperlink ref="B2" location="Tilakokonaisuus!A1" display="PALAA ETUSIVULLE" xr:uid="{142E09B2-4A59-4D42-A2AF-01B86AED4B67}"/>
    <hyperlink ref="B2:C2" location="'Gårdens info'!A1" display="TILL FRAMSIDAN" xr:uid="{E8CB04F8-AF19-9B43-B069-6D874F37A462}"/>
    <hyperlink ref="B15" location="'Avomaan mansikka'!B41" display="PERUSTAMISVUODEN KUSTANNUKSET" xr:uid="{AC73E094-080E-B446-B70E-102D507BE0DE}"/>
    <hyperlink ref="B24" location="'Jordgubbe friland'!B184" display="SKÖRDEÅRENS KOSTNADER" xr:uid="{A0BEE72A-DB26-A04E-B5D3-48C69DF74437}"/>
    <hyperlink ref="B35" location="'Jordgubbe friland'!B290" display="RÖJNINGSÅRETS KOSTNADER" xr:uid="{FA925DBB-ACF2-3847-928A-4A7B84B852FE}"/>
    <hyperlink ref="B15:D15" location="'Jordgubbe friland'!B100" display="ETABLERINGSÅRETS KOSTNADER" xr:uid="{CD528046-7244-DB44-82A9-593423C57683}"/>
    <hyperlink ref="B76" location="'Avomaan mansikka'!B41" display="PERUSTAMISVUODEN KUSTANNUKSET" xr:uid="{11553C72-136D-B942-8EA2-AB73B6B607C5}"/>
    <hyperlink ref="B76:D76" location="'Jordgubbe friland'!B147" display="ETABLERINGSÅRETS KOSTNADER" xr:uid="{71A56877-1803-764E-B3EF-DAE7B54CF051}"/>
    <hyperlink ref="B42:E42" location="'Gårdens info'!C131" display="ALLMÄNNA KOSTNADER, jordgubbens andel" xr:uid="{5BD01ACA-CE92-CB4D-A411-890ED1A5A1A2}"/>
    <hyperlink ref="B47:C47" location="Ägendom!B15" display="BYGGNADER" xr:uid="{BC3EBBCA-85FD-B34D-B322-F30CB63EC4EA}"/>
    <hyperlink ref="B54:D54" location="Ägendom!B28" display="MASINER OCH UTRUSTNING" xr:uid="{97CD3196-6531-DA4B-92CD-EF6A1DDD1947}"/>
    <hyperlink ref="B61:D61" location="Ägendom!B51" display="LÅNGVARIGA PRODUKTIONSMEDEL" xr:uid="{FF0205AF-B9D9-DB47-B025-33ECCFD0FA52}"/>
    <hyperlink ref="B68:C68" location="Ägendom!B70" display="TÄCKDIKEN" xr:uid="{EBC4BCBA-6AF3-6149-9AC8-B3E4C1C4F04A}"/>
    <hyperlink ref="L90" location="'Avomaan mansikka'!B2" display="PALAA SIVUN YLÄLAITAAN" xr:uid="{3E9CD52F-3DF8-1D46-8554-92D3CC75F42A}"/>
    <hyperlink ref="L174" location="'Avomaan mansikka'!B2" display="PALAA SIVUN YLÄLAITAAN" xr:uid="{A0E1F29B-F807-504C-B698-F5C224AD4F7C}"/>
    <hyperlink ref="L280" location="'Avomaan mansikka'!B2" display="PALAA SIVUN YLÄLAITAAN" xr:uid="{6A04DB08-DFF3-2040-8F4F-9E5BDEBFE9B2}"/>
    <hyperlink ref="B79" location="'Jordgubbe friland'!B260" display="SKÖRDEÅRETS KOSTNADER" xr:uid="{5336DFB7-FE7B-48C0-B2C7-BEEC55579730}"/>
    <hyperlink ref="B82" location="'Jordgubbe friland'!B323" display="RÖJNINGSÅRETS KOSTNADER" xr:uid="{BE0D53CA-B9CF-4E1B-9899-751A8F7E8901}"/>
    <hyperlink ref="L90:M90" location="'Jordgubbe friland'!A1" display="TILL SIDANS BÖRJAN" xr:uid="{C82EA6F5-DDFF-435A-8C21-4CE629545B07}"/>
    <hyperlink ref="L174:M174" location="'Jordgubbe friland'!A1" display="TILL SIDANS BÖRJAN" xr:uid="{18F2855E-126F-426D-A009-CAE00392614D}"/>
    <hyperlink ref="L280:M280" location="'Jordgubbe friland'!A1" display="TILL BÖRJAN AV SIDAN" xr:uid="{F4DD44EF-AE31-42C6-B15B-9BB98E88220F}"/>
  </hyperlinks>
  <pageMargins left="0.7" right="0.7" top="0.75" bottom="0.75" header="0.3" footer="0.3"/>
  <pageSetup paperSize="9" orientation="portrait"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715F9-0C3A-BB48-A793-702F09B1683B}">
  <sheetPr>
    <tabColor theme="5"/>
  </sheetPr>
  <dimension ref="A1:AE241"/>
  <sheetViews>
    <sheetView zoomScaleNormal="100" workbookViewId="0">
      <selection activeCell="B53" sqref="B53:C53"/>
    </sheetView>
  </sheetViews>
  <sheetFormatPr defaultColWidth="11.44140625" defaultRowHeight="13.2" x14ac:dyDescent="0.25"/>
  <cols>
    <col min="1" max="1" width="5.33203125" style="626" customWidth="1"/>
    <col min="3" max="3" width="16.77734375" customWidth="1"/>
    <col min="4" max="4" width="22.6640625" customWidth="1"/>
    <col min="5" max="5" width="12.109375" bestFit="1" customWidth="1"/>
    <col min="6" max="6" width="20.6640625" bestFit="1" customWidth="1"/>
    <col min="7" max="7" width="6.33203125" customWidth="1"/>
    <col min="9" max="9" width="6" customWidth="1"/>
    <col min="10" max="10" width="15.109375" customWidth="1"/>
    <col min="11" max="11" width="9.6640625" customWidth="1"/>
    <col min="12" max="12" width="20" customWidth="1"/>
    <col min="13" max="13" width="12.109375" customWidth="1"/>
    <col min="14" max="14" width="9.44140625" customWidth="1"/>
    <col min="15" max="15" width="9.109375" customWidth="1"/>
    <col min="16" max="16" width="4.44140625" customWidth="1"/>
    <col min="17" max="17" width="15" customWidth="1"/>
    <col min="18" max="18" width="5.109375" customWidth="1"/>
    <col min="19" max="19" width="18.33203125" bestFit="1" customWidth="1"/>
  </cols>
  <sheetData>
    <row r="1" spans="1:21" s="393" customFormat="1" ht="22.8" x14ac:dyDescent="0.4">
      <c r="A1" s="626"/>
      <c r="B1" s="630" t="s">
        <v>382</v>
      </c>
    </row>
    <row r="2" spans="1:21" ht="27" customHeight="1" x14ac:dyDescent="0.3">
      <c r="B2" s="976" t="s">
        <v>337</v>
      </c>
      <c r="C2" s="976"/>
      <c r="F2" s="91"/>
      <c r="G2" s="91"/>
      <c r="H2" s="91"/>
    </row>
    <row r="3" spans="1:21" ht="27" customHeight="1" x14ac:dyDescent="0.3">
      <c r="B3" s="233"/>
      <c r="C3" s="233"/>
    </row>
    <row r="4" spans="1:21" ht="139.94999999999999" customHeight="1" x14ac:dyDescent="0.3">
      <c r="B4" s="942" t="s">
        <v>371</v>
      </c>
      <c r="C4" s="942"/>
      <c r="D4" s="942"/>
      <c r="E4" s="942"/>
      <c r="F4" s="942"/>
      <c r="G4" s="942"/>
      <c r="H4" s="942"/>
      <c r="I4" s="942"/>
      <c r="J4" s="942"/>
      <c r="K4" s="942"/>
      <c r="L4" s="942"/>
    </row>
    <row r="5" spans="1:21" ht="27" customHeight="1" thickBot="1" x14ac:dyDescent="0.35">
      <c r="B5" s="233"/>
      <c r="C5" s="233"/>
    </row>
    <row r="6" spans="1:21" ht="27" customHeight="1" x14ac:dyDescent="0.4">
      <c r="B6" s="318" t="s">
        <v>381</v>
      </c>
      <c r="C6" s="282"/>
      <c r="D6" s="283"/>
      <c r="E6" s="283"/>
      <c r="F6" s="283"/>
      <c r="G6" s="283"/>
      <c r="H6" s="283"/>
      <c r="I6" s="283"/>
      <c r="J6" s="283"/>
      <c r="K6" s="283"/>
      <c r="L6" s="283"/>
      <c r="M6" s="284"/>
      <c r="N6" s="441"/>
      <c r="O6" s="283"/>
      <c r="P6" s="283"/>
      <c r="Q6" s="283"/>
      <c r="R6" s="283"/>
      <c r="S6" s="283"/>
      <c r="T6" s="283"/>
      <c r="U6" s="284"/>
    </row>
    <row r="7" spans="1:21" ht="27" customHeight="1" x14ac:dyDescent="0.4">
      <c r="B7" s="285"/>
      <c r="C7" s="286"/>
      <c r="D7" s="148"/>
      <c r="E7" s="148"/>
      <c r="F7" s="148"/>
      <c r="G7" s="148"/>
      <c r="H7" s="148"/>
      <c r="I7" s="148"/>
      <c r="J7" s="148"/>
      <c r="K7" s="148"/>
      <c r="L7" s="148"/>
      <c r="M7" s="287"/>
      <c r="N7" s="442"/>
      <c r="O7" s="148"/>
      <c r="P7" s="148"/>
      <c r="Q7" s="148"/>
      <c r="R7" s="148"/>
      <c r="S7" s="148"/>
      <c r="T7" s="148"/>
      <c r="U7" s="287"/>
    </row>
    <row r="8" spans="1:21" ht="21" x14ac:dyDescent="0.4">
      <c r="B8" s="319" t="s">
        <v>373</v>
      </c>
      <c r="C8" s="286"/>
      <c r="D8" s="148"/>
      <c r="E8" s="151"/>
      <c r="F8" s="151"/>
      <c r="G8" s="151"/>
      <c r="H8" s="151"/>
      <c r="I8" s="148"/>
      <c r="J8" s="148"/>
      <c r="K8" s="148"/>
      <c r="L8" s="148"/>
      <c r="M8" s="287"/>
      <c r="N8" s="319" t="s">
        <v>239</v>
      </c>
      <c r="O8" s="148"/>
      <c r="P8" s="148"/>
      <c r="Q8" s="148"/>
      <c r="R8" s="148"/>
      <c r="S8" s="148"/>
      <c r="T8" s="148"/>
      <c r="U8" s="300"/>
    </row>
    <row r="9" spans="1:21" ht="21" customHeight="1" thickBot="1" x14ac:dyDescent="0.35">
      <c r="B9" s="288"/>
      <c r="C9" s="289" t="s">
        <v>239</v>
      </c>
      <c r="D9" s="151"/>
      <c r="E9" s="151"/>
      <c r="F9" s="290">
        <f>H9*'Gårdens info'!G23</f>
        <v>40400</v>
      </c>
      <c r="G9" s="151" t="s">
        <v>14</v>
      </c>
      <c r="H9" s="362">
        <f>IF('Gårdens info'!G23&gt;0,(('Gårdens info'!G23*S10*T10)+('Gårdens info'!G23*S11*T11)+('Gårdens info'!G23*S12*T12)+('Gårdens info'!G23*S13*T13)+('Gårdens info'!G23*S14*T14)+('Gårdens info'!G23*S15*T15)+('Gårdens info'!G23*S16*T16)+('Gårdens info'!G23*S17*T17))/(('Gårdens info'!G23)),0)</f>
        <v>5.05</v>
      </c>
      <c r="I9" s="151" t="s">
        <v>6</v>
      </c>
      <c r="J9" s="290">
        <f>F9*'Gårdens info'!D23</f>
        <v>40400</v>
      </c>
      <c r="K9" s="151" t="s">
        <v>26</v>
      </c>
      <c r="L9" s="151"/>
      <c r="M9" s="287"/>
      <c r="N9" s="442"/>
      <c r="O9" s="943" t="s">
        <v>366</v>
      </c>
      <c r="P9" s="943"/>
      <c r="Q9" s="943"/>
      <c r="R9" s="443"/>
      <c r="S9" s="444" t="s">
        <v>339</v>
      </c>
      <c r="T9" s="967" t="s">
        <v>340</v>
      </c>
      <c r="U9" s="968"/>
    </row>
    <row r="10" spans="1:21" ht="15.6" thickBot="1" x14ac:dyDescent="0.3">
      <c r="B10" s="288"/>
      <c r="C10" s="151" t="s">
        <v>224</v>
      </c>
      <c r="D10" s="151"/>
      <c r="E10" s="151"/>
      <c r="F10" s="290">
        <f>IF('Gårdens info'!D23&gt;0,Stöd!J6/'Gårdens info'!D37*Stöd!L6+Stöd!J7/'Gårdens info'!D37*Stöd!L7+Stöd!J8/'Gårdens info'!D37*Stöd!L8+Stöd!J12/'Gårdens info'!D37*Stöd!L12+Stöd!J13/'Gårdens info'!D37*Stöd!L13+Stöd!J15/'Gårdens info'!D37*Stöd!L15+Stöd!J16/'Gårdens info'!D37*Stöd!L16+Stöd!J18/'Gårdens info'!D37*Stöd!L18+Stöd!J19/'Gårdens info'!D37*Stöd!L19+Stöd!J20/'Gårdens info'!D37*Stöd!L20+Stöd!J21/'Gårdens info'!D37*Stöd!L21,0)</f>
        <v>0</v>
      </c>
      <c r="G10" s="151" t="s">
        <v>14</v>
      </c>
      <c r="H10" s="362">
        <f>IF('Gårdens info'!G24&gt;0,F10/'Gårdens info'!G22,0)</f>
        <v>0</v>
      </c>
      <c r="I10" s="151" t="s">
        <v>6</v>
      </c>
      <c r="J10" s="290">
        <f>F10*'Gårdens info'!D23</f>
        <v>0</v>
      </c>
      <c r="K10" s="151" t="s">
        <v>26</v>
      </c>
      <c r="L10" s="151"/>
      <c r="M10" s="287"/>
      <c r="N10" s="442"/>
      <c r="O10" s="151">
        <v>1</v>
      </c>
      <c r="P10" s="151" t="s">
        <v>21</v>
      </c>
      <c r="Q10" s="151" t="s">
        <v>389</v>
      </c>
      <c r="R10" s="151"/>
      <c r="S10" s="452">
        <v>0</v>
      </c>
      <c r="T10" s="317">
        <v>4.5</v>
      </c>
      <c r="U10" s="300" t="s">
        <v>6</v>
      </c>
    </row>
    <row r="11" spans="1:21" s="8" customFormat="1" ht="21.6" customHeight="1" thickBot="1" x14ac:dyDescent="0.45">
      <c r="A11" s="627"/>
      <c r="B11" s="932" t="s">
        <v>240</v>
      </c>
      <c r="C11" s="933"/>
      <c r="D11" s="933"/>
      <c r="E11" s="324"/>
      <c r="F11" s="328">
        <f>F9+F10</f>
        <v>40400</v>
      </c>
      <c r="G11" s="329" t="s">
        <v>14</v>
      </c>
      <c r="H11" s="330">
        <f>H9+H10</f>
        <v>5.05</v>
      </c>
      <c r="I11" s="329" t="s">
        <v>6</v>
      </c>
      <c r="J11" s="331">
        <f>J9+J10</f>
        <v>40400</v>
      </c>
      <c r="K11" s="329" t="s">
        <v>26</v>
      </c>
      <c r="L11" s="329"/>
      <c r="M11" s="321"/>
      <c r="N11" s="445"/>
      <c r="O11" s="151">
        <v>3</v>
      </c>
      <c r="P11" s="151" t="s">
        <v>21</v>
      </c>
      <c r="Q11" s="151" t="s">
        <v>390</v>
      </c>
      <c r="R11" s="151"/>
      <c r="S11" s="454">
        <v>0</v>
      </c>
      <c r="T11" s="455"/>
      <c r="U11" s="300" t="s">
        <v>6</v>
      </c>
    </row>
    <row r="12" spans="1:21" s="8" customFormat="1" ht="21.6" thickBot="1" x14ac:dyDescent="0.45">
      <c r="A12" s="627"/>
      <c r="B12" s="832"/>
      <c r="C12" s="833"/>
      <c r="D12" s="833"/>
      <c r="E12" s="324"/>
      <c r="F12" s="328"/>
      <c r="G12" s="329"/>
      <c r="H12" s="330"/>
      <c r="I12" s="329"/>
      <c r="J12" s="331"/>
      <c r="K12" s="329"/>
      <c r="L12" s="329"/>
      <c r="M12" s="321"/>
      <c r="N12" s="445"/>
      <c r="O12" s="151">
        <v>5</v>
      </c>
      <c r="P12" s="151" t="s">
        <v>21</v>
      </c>
      <c r="Q12" s="151" t="s">
        <v>390</v>
      </c>
      <c r="R12" s="151"/>
      <c r="S12" s="454">
        <v>0</v>
      </c>
      <c r="T12" s="455"/>
      <c r="U12" s="300" t="s">
        <v>6</v>
      </c>
    </row>
    <row r="13" spans="1:21" ht="22.05" customHeight="1" thickBot="1" x14ac:dyDescent="0.35">
      <c r="B13" s="292"/>
      <c r="C13" s="286"/>
      <c r="D13" s="148"/>
      <c r="E13" s="148"/>
      <c r="F13" s="148"/>
      <c r="G13" s="148"/>
      <c r="H13" s="148"/>
      <c r="I13" s="148"/>
      <c r="J13" s="293"/>
      <c r="K13" s="148"/>
      <c r="L13" s="148"/>
      <c r="M13" s="287"/>
      <c r="N13" s="442"/>
      <c r="O13" s="151">
        <v>0.5</v>
      </c>
      <c r="P13" s="151" t="s">
        <v>21</v>
      </c>
      <c r="Q13" s="151" t="s">
        <v>391</v>
      </c>
      <c r="R13" s="151"/>
      <c r="S13" s="454">
        <v>0.1</v>
      </c>
      <c r="T13" s="317">
        <v>5.05</v>
      </c>
      <c r="U13" s="300" t="s">
        <v>6</v>
      </c>
    </row>
    <row r="14" spans="1:21" ht="21.6" thickBot="1" x14ac:dyDescent="0.45">
      <c r="B14" s="319" t="s">
        <v>241</v>
      </c>
      <c r="C14" s="286"/>
      <c r="D14" s="148"/>
      <c r="E14" s="148"/>
      <c r="F14" s="148"/>
      <c r="G14" s="148"/>
      <c r="H14" s="148"/>
      <c r="I14" s="148"/>
      <c r="J14" s="293"/>
      <c r="K14" s="148"/>
      <c r="L14" s="148"/>
      <c r="M14" s="287"/>
      <c r="N14" s="442"/>
      <c r="O14" s="151">
        <v>0.25</v>
      </c>
      <c r="P14" s="151" t="s">
        <v>21</v>
      </c>
      <c r="Q14" s="151" t="s">
        <v>391</v>
      </c>
      <c r="R14" s="151"/>
      <c r="S14" s="454">
        <v>0.9</v>
      </c>
      <c r="T14" s="317">
        <v>5.05</v>
      </c>
      <c r="U14" s="300" t="s">
        <v>6</v>
      </c>
    </row>
    <row r="15" spans="1:21" s="77" customFormat="1" ht="16.95" customHeight="1" thickBot="1" x14ac:dyDescent="0.35">
      <c r="A15" s="628"/>
      <c r="B15" s="870" t="s">
        <v>270</v>
      </c>
      <c r="C15" s="306"/>
      <c r="D15" s="310"/>
      <c r="E15" s="310"/>
      <c r="F15" s="311"/>
      <c r="G15" s="153"/>
      <c r="H15" s="310"/>
      <c r="I15" s="310"/>
      <c r="J15" s="310"/>
      <c r="K15" s="310"/>
      <c r="L15" s="310"/>
      <c r="M15" s="295"/>
      <c r="N15" s="442"/>
      <c r="O15" s="812">
        <f>D131</f>
        <v>0</v>
      </c>
      <c r="P15" s="151" t="s">
        <v>21</v>
      </c>
      <c r="Q15" s="362" t="str">
        <f>C131</f>
        <v>förpackning X</v>
      </c>
      <c r="R15" s="151"/>
      <c r="S15" s="454">
        <v>0</v>
      </c>
      <c r="T15" s="317"/>
      <c r="U15" s="300" t="s">
        <v>6</v>
      </c>
    </row>
    <row r="16" spans="1:21" s="91" customFormat="1" ht="21" customHeight="1" thickBot="1" x14ac:dyDescent="0.35">
      <c r="A16" s="629"/>
      <c r="B16" s="697"/>
      <c r="C16" s="289" t="s">
        <v>328</v>
      </c>
      <c r="D16" s="297"/>
      <c r="E16" s="297"/>
      <c r="F16" s="298">
        <f>IF('Gårdens info'!D23&gt;0,J77,0)</f>
        <v>7500</v>
      </c>
      <c r="G16" s="151" t="s">
        <v>14</v>
      </c>
      <c r="H16" s="299">
        <f>IF('Gårdens info'!$G$23&gt;0,F16/'Gårdens info'!$G$23,0)</f>
        <v>0.9375</v>
      </c>
      <c r="I16" s="151" t="s">
        <v>6</v>
      </c>
      <c r="J16" s="298">
        <f>F16*'Gårdens info'!$D$23</f>
        <v>7500</v>
      </c>
      <c r="K16" s="151" t="s">
        <v>384</v>
      </c>
      <c r="L16" s="297"/>
      <c r="M16" s="295"/>
      <c r="N16" s="442"/>
      <c r="O16" s="812">
        <f t="shared" ref="O16:O17" si="0">D132</f>
        <v>0</v>
      </c>
      <c r="P16" s="151" t="s">
        <v>21</v>
      </c>
      <c r="Q16" s="362" t="str">
        <f t="shared" ref="Q16:Q17" si="1">C132</f>
        <v>förpackning X</v>
      </c>
      <c r="R16" s="151"/>
      <c r="S16" s="454">
        <v>0</v>
      </c>
      <c r="T16" s="317"/>
      <c r="U16" s="300" t="s">
        <v>6</v>
      </c>
    </row>
    <row r="17" spans="1:31" s="91" customFormat="1" ht="15.6" thickBot="1" x14ac:dyDescent="0.3">
      <c r="A17" s="629"/>
      <c r="B17" s="296"/>
      <c r="C17" s="289" t="s">
        <v>470</v>
      </c>
      <c r="D17" s="297"/>
      <c r="E17" s="297"/>
      <c r="F17" s="298">
        <f>IF('Gårdens info'!D23&gt;0,J94,0)</f>
        <v>2543</v>
      </c>
      <c r="G17" s="151" t="s">
        <v>14</v>
      </c>
      <c r="H17" s="299">
        <f>IF('Gårdens info'!$G$23&gt;0,F17/'Gårdens info'!$G$23,0)</f>
        <v>0.31787500000000002</v>
      </c>
      <c r="I17" s="151" t="s">
        <v>6</v>
      </c>
      <c r="J17" s="298">
        <f>F17*'Gårdens info'!$D$23</f>
        <v>2543</v>
      </c>
      <c r="K17" s="151" t="s">
        <v>384</v>
      </c>
      <c r="L17" s="297"/>
      <c r="M17" s="300"/>
      <c r="N17" s="442"/>
      <c r="O17" s="812">
        <f t="shared" si="0"/>
        <v>0</v>
      </c>
      <c r="P17" s="151" t="s">
        <v>21</v>
      </c>
      <c r="Q17" s="362" t="str">
        <f t="shared" si="1"/>
        <v>förpackning X</v>
      </c>
      <c r="R17" s="151"/>
      <c r="S17" s="454">
        <v>0</v>
      </c>
      <c r="T17" s="317"/>
      <c r="U17" s="300" t="s">
        <v>6</v>
      </c>
    </row>
    <row r="18" spans="1:31" s="91" customFormat="1" ht="17.399999999999999" x14ac:dyDescent="0.3">
      <c r="A18" s="629"/>
      <c r="B18" s="296"/>
      <c r="C18" s="289" t="s">
        <v>245</v>
      </c>
      <c r="D18" s="297"/>
      <c r="E18" s="297"/>
      <c r="F18" s="298">
        <f>IF('Gårdens info'!D23&gt;0,J113,0)</f>
        <v>1231.26</v>
      </c>
      <c r="G18" s="151" t="s">
        <v>14</v>
      </c>
      <c r="H18" s="299">
        <f>IF('Gårdens info'!$G$23&gt;0,F18/'Gårdens info'!$G$23,0)</f>
        <v>0.1539075</v>
      </c>
      <c r="I18" s="151" t="s">
        <v>6</v>
      </c>
      <c r="J18" s="298">
        <f>F18*'Gårdens info'!$D$23</f>
        <v>1231.26</v>
      </c>
      <c r="K18" s="151" t="s">
        <v>384</v>
      </c>
      <c r="L18" s="297"/>
      <c r="M18" s="300"/>
      <c r="N18" s="446"/>
      <c r="O18" s="946" t="s">
        <v>196</v>
      </c>
      <c r="P18" s="946"/>
      <c r="Q18" s="946"/>
      <c r="R18" s="153"/>
      <c r="S18" s="450">
        <f>SUM(S10:S17)</f>
        <v>1</v>
      </c>
      <c r="T18" s="153"/>
      <c r="U18" s="295"/>
    </row>
    <row r="19" spans="1:31" s="91" customFormat="1" ht="17.399999999999999" x14ac:dyDescent="0.3">
      <c r="A19" s="629"/>
      <c r="B19" s="296"/>
      <c r="C19" s="289" t="s">
        <v>392</v>
      </c>
      <c r="D19" s="297"/>
      <c r="E19" s="297"/>
      <c r="F19" s="298">
        <f>IF('Gårdens info'!D23&gt;0,J121,0)</f>
        <v>800</v>
      </c>
      <c r="G19" s="151" t="s">
        <v>14</v>
      </c>
      <c r="H19" s="299">
        <f>IF('Gårdens info'!$G$23&gt;0,F19/'Gårdens info'!$G$23,0)</f>
        <v>0.1</v>
      </c>
      <c r="I19" s="151" t="s">
        <v>6</v>
      </c>
      <c r="J19" s="298">
        <f>F19*'Gårdens info'!$D$23</f>
        <v>800</v>
      </c>
      <c r="K19" s="151" t="s">
        <v>384</v>
      </c>
      <c r="L19" s="297"/>
      <c r="M19" s="300"/>
      <c r="N19" s="446"/>
      <c r="O19" s="472"/>
      <c r="P19" s="472"/>
      <c r="Q19" s="472"/>
      <c r="R19" s="153"/>
      <c r="S19" s="450"/>
      <c r="T19" s="153"/>
      <c r="U19" s="295"/>
    </row>
    <row r="20" spans="1:31" s="91" customFormat="1" ht="15.6" x14ac:dyDescent="0.3">
      <c r="A20" s="629"/>
      <c r="B20" s="296"/>
      <c r="C20" s="289" t="s">
        <v>393</v>
      </c>
      <c r="D20" s="297"/>
      <c r="E20" s="297"/>
      <c r="F20" s="298">
        <f>IF('Gårdens info'!D23&gt;0,J134,0)</f>
        <v>29520</v>
      </c>
      <c r="G20" s="151" t="s">
        <v>14</v>
      </c>
      <c r="H20" s="299">
        <f>IF('Gårdens info'!$G$23&gt;0,F20/'Gårdens info'!$G$23,0)</f>
        <v>3.69</v>
      </c>
      <c r="I20" s="151" t="s">
        <v>6</v>
      </c>
      <c r="J20" s="298">
        <f>F20*'Gårdens info'!$D$23</f>
        <v>29520</v>
      </c>
      <c r="K20" s="151" t="s">
        <v>384</v>
      </c>
      <c r="L20" s="297"/>
      <c r="M20" s="300"/>
      <c r="N20" s="288"/>
      <c r="O20" s="451" t="str">
        <f>IF(S18=100%," ","HUOM! Osuus myyynneistä pitää summautua 100 prosenttiin")</f>
        <v xml:space="preserve"> </v>
      </c>
      <c r="P20" s="151"/>
      <c r="R20" s="151"/>
      <c r="S20" s="151"/>
      <c r="T20" s="151"/>
      <c r="U20" s="300"/>
    </row>
    <row r="21" spans="1:31" s="91" customFormat="1" ht="15.6" thickBot="1" x14ac:dyDescent="0.3">
      <c r="A21" s="629"/>
      <c r="B21" s="296"/>
      <c r="C21" s="289" t="s">
        <v>394</v>
      </c>
      <c r="D21" s="297"/>
      <c r="E21" s="297"/>
      <c r="F21" s="298">
        <f>IF('Gårdens info'!D23&gt;0,J142,0)</f>
        <v>1200</v>
      </c>
      <c r="G21" s="151" t="s">
        <v>14</v>
      </c>
      <c r="H21" s="299">
        <f>IF('Gårdens info'!$G$23&gt;0,F21/'Gårdens info'!$G$23,0)</f>
        <v>0.15</v>
      </c>
      <c r="I21" s="151" t="s">
        <v>6</v>
      </c>
      <c r="J21" s="298">
        <f>F21*'Gårdens info'!$D$23</f>
        <v>1200</v>
      </c>
      <c r="K21" s="151" t="s">
        <v>384</v>
      </c>
      <c r="L21" s="297"/>
      <c r="M21" s="300"/>
      <c r="N21" s="447"/>
      <c r="O21" s="448"/>
      <c r="P21" s="448"/>
      <c r="Q21" s="448"/>
      <c r="R21" s="448"/>
      <c r="S21" s="448"/>
      <c r="T21" s="448"/>
      <c r="U21" s="449"/>
    </row>
    <row r="22" spans="1:31" s="91" customFormat="1" ht="15" x14ac:dyDescent="0.25">
      <c r="A22" s="629"/>
      <c r="B22" s="296"/>
      <c r="C22" s="289" t="s">
        <v>387</v>
      </c>
      <c r="D22" s="297"/>
      <c r="E22" s="297"/>
      <c r="F22" s="298">
        <f>IF('Gårdens info'!D23&gt;0,J150,0)</f>
        <v>73</v>
      </c>
      <c r="G22" s="151" t="s">
        <v>14</v>
      </c>
      <c r="H22" s="299">
        <f>IF('Gårdens info'!$G$23&gt;0,F22/'Gårdens info'!$G$23,0)</f>
        <v>9.1249999999999994E-3</v>
      </c>
      <c r="I22" s="151" t="s">
        <v>6</v>
      </c>
      <c r="J22" s="298">
        <f>F22*'Gårdens info'!$D$23</f>
        <v>73</v>
      </c>
      <c r="K22" s="151" t="s">
        <v>384</v>
      </c>
      <c r="L22" s="297"/>
      <c r="M22" s="300"/>
    </row>
    <row r="23" spans="1:31" s="91" customFormat="1" ht="15" x14ac:dyDescent="0.25">
      <c r="A23" s="629"/>
      <c r="B23" s="296"/>
      <c r="C23" s="289" t="s">
        <v>249</v>
      </c>
      <c r="D23" s="297"/>
      <c r="E23" s="297"/>
      <c r="F23" s="298">
        <f>IF('Gårdens info'!D23&gt;0,J160,0)</f>
        <v>2959.5</v>
      </c>
      <c r="G23" s="151" t="s">
        <v>14</v>
      </c>
      <c r="H23" s="299">
        <f>IF('Gårdens info'!$G$23&gt;0,F23/'Gårdens info'!$G$23,0)</f>
        <v>0.36993749999999997</v>
      </c>
      <c r="I23" s="151" t="s">
        <v>6</v>
      </c>
      <c r="J23" s="298">
        <f>F23*'Gårdens info'!$D$23</f>
        <v>2959.5</v>
      </c>
      <c r="K23" s="151" t="s">
        <v>384</v>
      </c>
      <c r="L23" s="297"/>
      <c r="M23" s="300"/>
    </row>
    <row r="24" spans="1:31" ht="15" x14ac:dyDescent="0.25">
      <c r="B24" s="296"/>
      <c r="C24" s="289" t="s">
        <v>388</v>
      </c>
      <c r="D24" s="297"/>
      <c r="E24" s="297"/>
      <c r="F24" s="298">
        <f>IF('Gårdens info'!D23&gt;0,L190,0)</f>
        <v>50104</v>
      </c>
      <c r="G24" s="151" t="s">
        <v>14</v>
      </c>
      <c r="H24" s="299">
        <f>IF('Gårdens info'!$G$23&gt;0,F24/'Gårdens info'!$G$23,0)</f>
        <v>6.2629999999999999</v>
      </c>
      <c r="I24" s="151" t="s">
        <v>6</v>
      </c>
      <c r="J24" s="298">
        <f>F24*'Gårdens info'!$D$23</f>
        <v>50104</v>
      </c>
      <c r="K24" s="151" t="s">
        <v>384</v>
      </c>
      <c r="L24" s="297"/>
      <c r="M24" s="300"/>
      <c r="N24" s="91"/>
      <c r="O24" s="91"/>
      <c r="P24" s="91"/>
      <c r="Q24" s="91"/>
      <c r="R24" s="91"/>
      <c r="S24" s="91"/>
      <c r="T24" s="91"/>
      <c r="U24" s="91"/>
    </row>
    <row r="25" spans="1:31" s="77" customFormat="1" ht="17.399999999999999" x14ac:dyDescent="0.3">
      <c r="A25" s="628"/>
      <c r="B25" s="312"/>
      <c r="C25" s="301" t="s">
        <v>196</v>
      </c>
      <c r="D25" s="302"/>
      <c r="E25" s="302"/>
      <c r="F25" s="303">
        <f>SUM(F16:F24)</f>
        <v>95930.760000000009</v>
      </c>
      <c r="G25" s="304" t="s">
        <v>14</v>
      </c>
      <c r="H25" s="305">
        <f>SUM(H16:H24)</f>
        <v>11.991344999999999</v>
      </c>
      <c r="I25" s="304" t="s">
        <v>6</v>
      </c>
      <c r="J25" s="303">
        <f>SUM(J16:J24)</f>
        <v>95930.760000000009</v>
      </c>
      <c r="K25" s="847" t="s">
        <v>384</v>
      </c>
      <c r="L25" s="302"/>
      <c r="M25" s="313"/>
      <c r="N25" s="91"/>
      <c r="O25" s="91"/>
      <c r="P25" s="91"/>
      <c r="Q25" s="91"/>
      <c r="R25" s="91"/>
      <c r="S25" s="91"/>
      <c r="T25" s="91"/>
      <c r="U25" s="91"/>
      <c r="AB25" s="551"/>
      <c r="AC25" s="551"/>
      <c r="AD25" s="551"/>
      <c r="AE25" s="551"/>
    </row>
    <row r="26" spans="1:31" s="91" customFormat="1" ht="17.399999999999999" x14ac:dyDescent="0.3">
      <c r="A26" s="629"/>
      <c r="B26" s="349"/>
      <c r="C26" s="324"/>
      <c r="D26" s="324"/>
      <c r="E26" s="324"/>
      <c r="F26" s="325"/>
      <c r="G26" s="304"/>
      <c r="H26" s="326"/>
      <c r="I26" s="304"/>
      <c r="J26" s="320"/>
      <c r="K26" s="304"/>
      <c r="L26" s="327"/>
      <c r="M26" s="321"/>
      <c r="Q26" s="77"/>
      <c r="AB26" s="457" t="str">
        <f>C17</f>
        <v>Gödsel och växtunderlag</v>
      </c>
      <c r="AC26" s="458">
        <f>F17</f>
        <v>2543</v>
      </c>
      <c r="AD26" s="457"/>
      <c r="AE26" s="457"/>
    </row>
    <row r="27" spans="1:31" s="91" customFormat="1" ht="17.399999999999999" x14ac:dyDescent="0.3">
      <c r="A27" s="629"/>
      <c r="B27" s="947" t="s">
        <v>471</v>
      </c>
      <c r="C27" s="948"/>
      <c r="D27" s="948"/>
      <c r="E27" s="948"/>
      <c r="F27" s="325">
        <f>IF('Gårdens info'!D23&gt;0,J27/'Gårdens info'!D23,0)</f>
        <v>414.81481481481484</v>
      </c>
      <c r="G27" s="304" t="s">
        <v>14</v>
      </c>
      <c r="H27" s="326">
        <f>IF('Gårdens info'!G23&gt;0,F27/'Gårdens info'!G23,0)</f>
        <v>5.1851851851851857E-2</v>
      </c>
      <c r="I27" s="304" t="s">
        <v>6</v>
      </c>
      <c r="J27" s="320">
        <f>'Gårdens info'!G147/'Gårdens info'!D37*'Gårdens info'!D23</f>
        <v>414.81481481481484</v>
      </c>
      <c r="K27" s="151" t="s">
        <v>384</v>
      </c>
      <c r="L27" s="327"/>
      <c r="M27" s="321"/>
      <c r="N27"/>
      <c r="O27"/>
      <c r="P27"/>
      <c r="S27"/>
      <c r="T27"/>
      <c r="U27"/>
      <c r="AB27" s="457" t="str">
        <f>C18</f>
        <v>IPM Växtskydd</v>
      </c>
      <c r="AC27" s="458">
        <f t="shared" ref="AC27:AC33" si="2">F18</f>
        <v>1231.26</v>
      </c>
      <c r="AD27" s="457"/>
      <c r="AE27" s="457"/>
    </row>
    <row r="28" spans="1:31" s="91" customFormat="1" ht="17.399999999999999" x14ac:dyDescent="0.3">
      <c r="A28" s="629"/>
      <c r="B28" s="949" t="s">
        <v>472</v>
      </c>
      <c r="C28" s="950"/>
      <c r="D28" s="950"/>
      <c r="E28" s="950"/>
      <c r="F28" s="325">
        <f>'Gårdens info'!$G$42*'Gårdens info'!$D$42/'Gårdens info'!$D$37*'Gårdens info'!D23</f>
        <v>44.444444444444443</v>
      </c>
      <c r="G28" s="304" t="s">
        <v>14</v>
      </c>
      <c r="H28" s="326">
        <f>IF('Gårdens info'!G23&gt;0,F28/'Gårdens info'!G23,0)</f>
        <v>5.5555555555555558E-3</v>
      </c>
      <c r="I28" s="304" t="s">
        <v>6</v>
      </c>
      <c r="J28" s="320">
        <f>F28*'Gårdens info'!D23</f>
        <v>44.444444444444443</v>
      </c>
      <c r="K28" s="151" t="s">
        <v>384</v>
      </c>
      <c r="L28" s="327"/>
      <c r="M28" s="321"/>
      <c r="N28" s="77"/>
      <c r="O28" s="77"/>
      <c r="P28" s="77"/>
      <c r="S28" s="77"/>
      <c r="T28" s="77"/>
      <c r="U28" s="77"/>
      <c r="AB28" s="457" t="s">
        <v>87</v>
      </c>
      <c r="AC28" s="458">
        <f t="shared" si="2"/>
        <v>800</v>
      </c>
      <c r="AD28" s="457"/>
      <c r="AE28" s="457"/>
    </row>
    <row r="29" spans="1:31" s="91" customFormat="1" ht="21" x14ac:dyDescent="0.4">
      <c r="A29" s="629"/>
      <c r="B29" s="932" t="s">
        <v>226</v>
      </c>
      <c r="C29" s="933"/>
      <c r="D29" s="933"/>
      <c r="E29" s="324"/>
      <c r="F29" s="328">
        <f>F25+F27+F28</f>
        <v>96390.019259259265</v>
      </c>
      <c r="G29" s="329" t="s">
        <v>14</v>
      </c>
      <c r="H29" s="330">
        <f>H25+H27+H28</f>
        <v>12.048752407407408</v>
      </c>
      <c r="I29" s="329" t="s">
        <v>6</v>
      </c>
      <c r="J29" s="331">
        <f>J25+J27+J28</f>
        <v>96390.019259259265</v>
      </c>
      <c r="K29" s="855" t="s">
        <v>384</v>
      </c>
      <c r="L29" s="329"/>
      <c r="M29" s="321"/>
      <c r="AB29" s="457" t="str">
        <f t="shared" ref="AB29:AB33" si="3">C20</f>
        <v>Förpackningsmaterial</v>
      </c>
      <c r="AC29" s="458">
        <f t="shared" si="2"/>
        <v>29520</v>
      </c>
      <c r="AD29" s="457"/>
      <c r="AE29" s="457"/>
    </row>
    <row r="30" spans="1:31" s="91" customFormat="1" ht="21" x14ac:dyDescent="0.4">
      <c r="A30" s="629"/>
      <c r="B30" s="351"/>
      <c r="C30" s="332"/>
      <c r="D30" s="332"/>
      <c r="E30" s="324"/>
      <c r="F30" s="328"/>
      <c r="G30" s="329"/>
      <c r="H30" s="330"/>
      <c r="I30" s="329"/>
      <c r="J30" s="331"/>
      <c r="K30" s="329"/>
      <c r="L30" s="329"/>
      <c r="M30" s="321"/>
      <c r="AB30" s="457" t="str">
        <f t="shared" si="3"/>
        <v>Frakt av produkter</v>
      </c>
      <c r="AC30" s="458">
        <f t="shared" si="2"/>
        <v>1200</v>
      </c>
      <c r="AD30" s="457"/>
      <c r="AE30" s="457"/>
    </row>
    <row r="31" spans="1:31" s="91" customFormat="1" ht="21" x14ac:dyDescent="0.4">
      <c r="A31" s="629"/>
      <c r="B31" s="319" t="s">
        <v>398</v>
      </c>
      <c r="C31" s="286"/>
      <c r="D31" s="148"/>
      <c r="E31" s="148"/>
      <c r="F31" s="148"/>
      <c r="G31" s="148"/>
      <c r="H31" s="148"/>
      <c r="I31" s="148"/>
      <c r="J31" s="293"/>
      <c r="K31" s="148"/>
      <c r="L31" s="148"/>
      <c r="M31" s="287"/>
      <c r="AB31" s="457" t="str">
        <f t="shared" si="3"/>
        <v>Maskinhyra och entreprenad</v>
      </c>
      <c r="AC31" s="458">
        <f t="shared" si="2"/>
        <v>73</v>
      </c>
      <c r="AD31" s="457"/>
      <c r="AE31" s="457"/>
    </row>
    <row r="32" spans="1:31" s="91" customFormat="1" ht="21" customHeight="1" x14ac:dyDescent="0.4">
      <c r="A32" s="629"/>
      <c r="B32" s="947" t="s">
        <v>149</v>
      </c>
      <c r="C32" s="948"/>
      <c r="D32" s="833"/>
      <c r="E32" s="324"/>
      <c r="F32" s="328"/>
      <c r="G32" s="329"/>
      <c r="H32" s="330"/>
      <c r="I32" s="329"/>
      <c r="J32" s="331"/>
      <c r="K32" s="329"/>
      <c r="L32" s="329"/>
      <c r="M32" s="321"/>
      <c r="AB32" s="457" t="str">
        <f t="shared" si="3"/>
        <v>Energikostnader</v>
      </c>
      <c r="AC32" s="458">
        <f t="shared" si="2"/>
        <v>2959.5</v>
      </c>
      <c r="AD32" s="457"/>
      <c r="AE32" s="457"/>
    </row>
    <row r="33" spans="1:31" s="236" customFormat="1" ht="21" x14ac:dyDescent="0.4">
      <c r="A33" s="394"/>
      <c r="B33" s="350"/>
      <c r="C33" s="838" t="s">
        <v>264</v>
      </c>
      <c r="D33" s="833"/>
      <c r="E33" s="324"/>
      <c r="F33" s="338">
        <f>IF('Gårdens info'!$D$23&gt;0,J33/'Gårdens info'!$D$23,0)</f>
        <v>1955.5555555555554</v>
      </c>
      <c r="G33" s="151" t="s">
        <v>14</v>
      </c>
      <c r="H33" s="339">
        <f>IF('Gårdens info'!$G$23&gt;0,F33/'Gårdens info'!$G$23,0)</f>
        <v>0.24444444444444444</v>
      </c>
      <c r="I33" s="151" t="s">
        <v>6</v>
      </c>
      <c r="J33" s="298">
        <f>Ägendom!AR22</f>
        <v>1955.5555555555554</v>
      </c>
      <c r="K33" s="151" t="s">
        <v>384</v>
      </c>
      <c r="L33" s="329"/>
      <c r="M33" s="321"/>
      <c r="N33" s="91"/>
      <c r="O33" s="91"/>
      <c r="P33" s="91"/>
      <c r="Q33" s="91"/>
      <c r="R33" s="91"/>
      <c r="S33" s="91"/>
      <c r="T33" s="91"/>
      <c r="U33" s="91"/>
      <c r="AB33" s="457" t="str">
        <f t="shared" si="3"/>
        <v>Anställd personal</v>
      </c>
      <c r="AC33" s="458">
        <f t="shared" si="2"/>
        <v>50104</v>
      </c>
      <c r="AD33" s="765"/>
      <c r="AE33" s="765"/>
    </row>
    <row r="34" spans="1:31" ht="21" x14ac:dyDescent="0.4">
      <c r="B34" s="350"/>
      <c r="C34" s="838" t="s">
        <v>265</v>
      </c>
      <c r="D34" s="833"/>
      <c r="E34" s="324"/>
      <c r="F34" s="338">
        <f>IF('Gårdens info'!$D$23&gt;0,J34/'Gårdens info'!$D$23,0)</f>
        <v>1222.2222222222222</v>
      </c>
      <c r="G34" s="151" t="s">
        <v>14</v>
      </c>
      <c r="H34" s="339">
        <f>IF('Gårdens info'!$G$23&gt;0,F34/'Gårdens info'!$G$23,0)</f>
        <v>0.15277777777777776</v>
      </c>
      <c r="I34" s="151" t="s">
        <v>6</v>
      </c>
      <c r="J34" s="298">
        <f>Ägendom!BN22</f>
        <v>1222.2222222222222</v>
      </c>
      <c r="K34" s="151" t="s">
        <v>384</v>
      </c>
      <c r="L34" s="329"/>
      <c r="M34" s="321"/>
      <c r="N34" s="91"/>
      <c r="O34" s="91"/>
      <c r="P34" s="91"/>
      <c r="Q34" s="236"/>
      <c r="R34" s="236"/>
      <c r="S34" s="91"/>
      <c r="T34" s="91"/>
      <c r="U34" s="91"/>
      <c r="AB34" s="459" t="s">
        <v>17</v>
      </c>
      <c r="AC34" s="459">
        <f>F27</f>
        <v>414.81481481481484</v>
      </c>
      <c r="AD34" s="456"/>
      <c r="AE34" s="456"/>
    </row>
    <row r="35" spans="1:31" ht="17.399999999999999" customHeight="1" x14ac:dyDescent="0.3">
      <c r="B35" s="350"/>
      <c r="C35" s="941" t="s">
        <v>266</v>
      </c>
      <c r="D35" s="941"/>
      <c r="E35" s="324"/>
      <c r="F35" s="338">
        <f>IF('Gårdens info'!$D$23&gt;0,J35/'Gårdens info'!$D$23,0)</f>
        <v>488.88888888888886</v>
      </c>
      <c r="G35" s="151" t="s">
        <v>14</v>
      </c>
      <c r="H35" s="339">
        <f>IF('Gårdens info'!$G$23&gt;0,F35/'Gårdens info'!$G$23,0)</f>
        <v>6.1111111111111109E-2</v>
      </c>
      <c r="I35" s="151" t="s">
        <v>6</v>
      </c>
      <c r="J35" s="298">
        <f>Ägendom!CJ22</f>
        <v>488.88888888888886</v>
      </c>
      <c r="K35" s="151" t="s">
        <v>384</v>
      </c>
      <c r="L35" s="329"/>
      <c r="M35" s="321"/>
      <c r="N35" s="91"/>
      <c r="O35" s="91"/>
      <c r="P35" s="91"/>
      <c r="S35" s="91"/>
      <c r="T35" s="91"/>
      <c r="U35" s="91"/>
      <c r="AB35" s="457" t="s">
        <v>51</v>
      </c>
      <c r="AC35" s="459">
        <f>F28</f>
        <v>44.444444444444443</v>
      </c>
      <c r="AD35" s="456"/>
      <c r="AE35" s="456"/>
    </row>
    <row r="36" spans="1:31" ht="21" x14ac:dyDescent="0.4">
      <c r="B36" s="350"/>
      <c r="C36" s="838" t="s">
        <v>399</v>
      </c>
      <c r="D36" s="833"/>
      <c r="E36" s="324"/>
      <c r="F36" s="338">
        <f>IF('Gårdens info'!$D$23&gt;0,J36/'Gårdens info'!$D$23,0)</f>
        <v>97.777777777777786</v>
      </c>
      <c r="G36" s="151" t="s">
        <v>14</v>
      </c>
      <c r="H36" s="339">
        <f>IF('Gårdens info'!$G$23&gt;0,F36/'Gårdens info'!$G$23,0)</f>
        <v>1.2222222222222223E-2</v>
      </c>
      <c r="I36" s="151" t="s">
        <v>6</v>
      </c>
      <c r="J36" s="298">
        <f>Ägendom!DF22</f>
        <v>97.777777777777786</v>
      </c>
      <c r="K36" s="151" t="s">
        <v>384</v>
      </c>
      <c r="L36" s="329"/>
      <c r="M36" s="321"/>
      <c r="N36" s="236"/>
      <c r="O36" s="236"/>
      <c r="P36" s="236"/>
      <c r="S36" s="236"/>
      <c r="T36" s="236"/>
      <c r="U36" s="236"/>
      <c r="AB36" s="457" t="s">
        <v>12</v>
      </c>
      <c r="AC36" s="460">
        <f>F37</f>
        <v>3764.4444444444439</v>
      </c>
      <c r="AD36" s="456"/>
      <c r="AE36" s="456"/>
    </row>
    <row r="37" spans="1:31" s="91" customFormat="1" ht="20.399999999999999" x14ac:dyDescent="0.35">
      <c r="A37" s="629"/>
      <c r="B37" s="352"/>
      <c r="C37" s="340" t="s">
        <v>196</v>
      </c>
      <c r="D37" s="341"/>
      <c r="E37" s="324"/>
      <c r="F37" s="342">
        <f>SUM(F33:F36)</f>
        <v>3764.4444444444439</v>
      </c>
      <c r="G37" s="151" t="s">
        <v>14</v>
      </c>
      <c r="H37" s="348">
        <f t="shared" ref="H37:J37" si="4">SUM(H33:H36)</f>
        <v>0.47055555555555556</v>
      </c>
      <c r="I37" s="151" t="s">
        <v>6</v>
      </c>
      <c r="J37" s="342">
        <f t="shared" si="4"/>
        <v>3764.4444444444439</v>
      </c>
      <c r="K37" s="151" t="s">
        <v>384</v>
      </c>
      <c r="L37" s="343"/>
      <c r="M37" s="321"/>
      <c r="N37"/>
      <c r="O37"/>
      <c r="P37"/>
      <c r="Q37"/>
      <c r="R37"/>
      <c r="S37"/>
      <c r="T37"/>
      <c r="U37"/>
      <c r="AB37" s="457" t="s">
        <v>13</v>
      </c>
      <c r="AC37" s="461">
        <f>F44</f>
        <v>1988.6405061728397</v>
      </c>
      <c r="AD37" s="457"/>
      <c r="AE37" s="457"/>
    </row>
    <row r="38" spans="1:31" s="91" customFormat="1" ht="21" x14ac:dyDescent="0.4">
      <c r="A38" s="629"/>
      <c r="B38" s="350"/>
      <c r="C38" s="838"/>
      <c r="D38" s="833"/>
      <c r="E38" s="324"/>
      <c r="F38" s="338"/>
      <c r="G38" s="151"/>
      <c r="H38" s="339"/>
      <c r="I38" s="151"/>
      <c r="J38" s="298"/>
      <c r="K38" s="151"/>
      <c r="L38" s="329"/>
      <c r="M38" s="321"/>
      <c r="N38"/>
      <c r="O38"/>
      <c r="P38"/>
      <c r="S38"/>
      <c r="T38"/>
      <c r="U38"/>
      <c r="AB38" s="457" t="s">
        <v>50</v>
      </c>
      <c r="AC38" s="461">
        <f>F51</f>
        <v>1481.2369047619045</v>
      </c>
      <c r="AD38" s="457"/>
      <c r="AE38" s="457"/>
    </row>
    <row r="39" spans="1:31" s="91" customFormat="1" ht="17.399999999999999" customHeight="1" x14ac:dyDescent="0.3">
      <c r="A39" s="629"/>
      <c r="B39" s="970" t="s">
        <v>400</v>
      </c>
      <c r="C39" s="971"/>
      <c r="D39" s="971"/>
      <c r="E39" s="324"/>
      <c r="F39" s="338"/>
      <c r="G39" s="151"/>
      <c r="H39" s="339"/>
      <c r="I39" s="151"/>
      <c r="J39" s="298"/>
      <c r="K39" s="151"/>
      <c r="L39" s="329"/>
      <c r="M39" s="321"/>
      <c r="N39"/>
      <c r="O39"/>
      <c r="P39"/>
      <c r="S39"/>
      <c r="T39"/>
      <c r="U39"/>
      <c r="AB39" s="457" t="s">
        <v>23</v>
      </c>
      <c r="AC39" s="461">
        <f>F57</f>
        <v>111.1111111111111</v>
      </c>
      <c r="AD39" s="457"/>
      <c r="AE39" s="457"/>
    </row>
    <row r="40" spans="1:31" s="8" customFormat="1" ht="21" x14ac:dyDescent="0.4">
      <c r="A40" s="627"/>
      <c r="B40" s="350"/>
      <c r="C40" s="838" t="s">
        <v>264</v>
      </c>
      <c r="D40" s="833"/>
      <c r="E40" s="324"/>
      <c r="F40" s="338">
        <f>IF('Gårdens info'!$D$23&gt;0,J40/'Gårdens info'!$D$23,0)</f>
        <v>853.85432098765421</v>
      </c>
      <c r="G40" s="151" t="s">
        <v>14</v>
      </c>
      <c r="H40" s="339">
        <f>IF('Gårdens info'!$G$23&gt;0,F40/'Gårdens info'!$G$23,0)</f>
        <v>0.10673179012345678</v>
      </c>
      <c r="I40" s="151" t="s">
        <v>6</v>
      </c>
      <c r="J40" s="298">
        <f>Ägendom!AR51</f>
        <v>853.85432098765421</v>
      </c>
      <c r="K40" s="151" t="s">
        <v>384</v>
      </c>
      <c r="L40" s="329"/>
      <c r="M40" s="321"/>
      <c r="N40" s="91"/>
      <c r="O40" s="91"/>
      <c r="P40" s="91"/>
      <c r="Q40" s="91"/>
      <c r="R40" s="91"/>
      <c r="S40" s="91"/>
      <c r="T40" s="91"/>
      <c r="U40" s="91"/>
      <c r="AB40" s="457" t="s">
        <v>44</v>
      </c>
      <c r="AC40" s="459">
        <f>F64</f>
        <v>3770</v>
      </c>
      <c r="AD40" s="679"/>
      <c r="AE40" s="679"/>
    </row>
    <row r="41" spans="1:31" s="8" customFormat="1" ht="21" x14ac:dyDescent="0.4">
      <c r="A41" s="627"/>
      <c r="B41" s="350"/>
      <c r="C41" s="838" t="s">
        <v>265</v>
      </c>
      <c r="D41" s="833"/>
      <c r="E41" s="324"/>
      <c r="F41" s="338">
        <f>IF('Gårdens info'!$D$23&gt;0,J41/'Gårdens info'!$D$23,0)</f>
        <v>320.19537037037031</v>
      </c>
      <c r="G41" s="151" t="s">
        <v>14</v>
      </c>
      <c r="H41" s="339">
        <f>IF('Gårdens info'!$G$23&gt;0,F41/'Gårdens info'!$G$23,0)</f>
        <v>4.0024421296296291E-2</v>
      </c>
      <c r="I41" s="151" t="s">
        <v>6</v>
      </c>
      <c r="J41" s="298">
        <f>Ägendom!BN51</f>
        <v>320.19537037037031</v>
      </c>
      <c r="K41" s="151" t="s">
        <v>384</v>
      </c>
      <c r="L41" s="329"/>
      <c r="M41" s="321"/>
      <c r="N41" s="91"/>
      <c r="O41" s="91"/>
      <c r="P41" s="91"/>
      <c r="Q41" s="91"/>
      <c r="R41" s="91"/>
      <c r="S41" s="91"/>
      <c r="T41" s="91"/>
      <c r="U41" s="91"/>
    </row>
    <row r="42" spans="1:31" s="8" customFormat="1" ht="17.399999999999999" customHeight="1" x14ac:dyDescent="0.3">
      <c r="A42" s="627"/>
      <c r="B42" s="350"/>
      <c r="C42" s="941" t="s">
        <v>266</v>
      </c>
      <c r="D42" s="941"/>
      <c r="E42" s="324"/>
      <c r="F42" s="338">
        <f>IF('Gårdens info'!$D$23&gt;0,J42/'Gårdens info'!$D$23,0)</f>
        <v>763.67888888888899</v>
      </c>
      <c r="G42" s="151" t="s">
        <v>14</v>
      </c>
      <c r="H42" s="339">
        <f>IF('Gårdens info'!$G$23&gt;0,F42/'Gårdens info'!$G$23,0)</f>
        <v>9.5459861111111127E-2</v>
      </c>
      <c r="I42" s="151" t="s">
        <v>6</v>
      </c>
      <c r="J42" s="298">
        <f>Ägendom!CJ51</f>
        <v>763.67888888888899</v>
      </c>
      <c r="K42" s="151" t="s">
        <v>384</v>
      </c>
      <c r="L42" s="329"/>
      <c r="M42" s="321"/>
      <c r="N42" s="91"/>
      <c r="O42" s="91"/>
      <c r="P42" s="91"/>
      <c r="Q42" s="91"/>
      <c r="R42" s="91"/>
      <c r="S42" s="91"/>
      <c r="T42" s="91"/>
      <c r="U42" s="91"/>
    </row>
    <row r="43" spans="1:31" s="8" customFormat="1" ht="21" x14ac:dyDescent="0.4">
      <c r="A43" s="627"/>
      <c r="B43" s="350"/>
      <c r="C43" s="838" t="s">
        <v>399</v>
      </c>
      <c r="D43" s="833"/>
      <c r="E43" s="324"/>
      <c r="F43" s="338">
        <f>IF('Gårdens info'!$D$23&gt;0,J43/'Gårdens info'!$D$23,0)</f>
        <v>50.911925925925921</v>
      </c>
      <c r="G43" s="151" t="s">
        <v>14</v>
      </c>
      <c r="H43" s="339">
        <f>IF('Gårdens info'!$G$23&gt;0,F43/'Gårdens info'!$G$23,0)</f>
        <v>6.3639907407407404E-3</v>
      </c>
      <c r="I43" s="151" t="s">
        <v>6</v>
      </c>
      <c r="J43" s="298">
        <f>Ägendom!DF51</f>
        <v>50.911925925925921</v>
      </c>
      <c r="K43" s="151" t="s">
        <v>384</v>
      </c>
      <c r="L43" s="329"/>
      <c r="M43" s="321"/>
    </row>
    <row r="44" spans="1:31" s="8" customFormat="1" ht="20.399999999999999" x14ac:dyDescent="0.35">
      <c r="A44" s="627"/>
      <c r="B44" s="352"/>
      <c r="C44" s="340" t="s">
        <v>196</v>
      </c>
      <c r="D44" s="341"/>
      <c r="E44" s="324"/>
      <c r="F44" s="342">
        <f>SUM(F40:F43)</f>
        <v>1988.6405061728397</v>
      </c>
      <c r="G44" s="151" t="s">
        <v>14</v>
      </c>
      <c r="H44" s="348">
        <f t="shared" ref="H44:J44" si="5">SUM(H40:H43)</f>
        <v>0.24858006327160492</v>
      </c>
      <c r="I44" s="151" t="s">
        <v>6</v>
      </c>
      <c r="J44" s="342">
        <f t="shared" si="5"/>
        <v>1988.6405061728397</v>
      </c>
      <c r="K44" s="151" t="s">
        <v>384</v>
      </c>
      <c r="L44" s="343"/>
      <c r="M44" s="321"/>
    </row>
    <row r="45" spans="1:31" s="8" customFormat="1" ht="43.05" customHeight="1" x14ac:dyDescent="0.4">
      <c r="A45" s="627"/>
      <c r="B45" s="350"/>
      <c r="C45" s="838"/>
      <c r="D45" s="833"/>
      <c r="E45" s="324"/>
      <c r="F45" s="338"/>
      <c r="G45" s="151"/>
      <c r="H45" s="339"/>
      <c r="I45" s="151"/>
      <c r="J45" s="298"/>
      <c r="K45" s="151"/>
      <c r="L45" s="329"/>
      <c r="M45" s="321"/>
    </row>
    <row r="46" spans="1:31" ht="17.399999999999999" customHeight="1" x14ac:dyDescent="0.3">
      <c r="B46" s="947" t="s">
        <v>151</v>
      </c>
      <c r="C46" s="948"/>
      <c r="D46" s="948"/>
      <c r="E46" s="324"/>
      <c r="F46" s="338"/>
      <c r="G46" s="151"/>
      <c r="H46" s="339"/>
      <c r="I46" s="151"/>
      <c r="J46" s="298"/>
      <c r="K46" s="151"/>
      <c r="L46" s="329"/>
      <c r="M46" s="321"/>
      <c r="N46" s="8"/>
      <c r="O46" s="8"/>
      <c r="P46" s="8"/>
      <c r="Q46" s="8"/>
      <c r="R46" s="8"/>
      <c r="S46" s="8"/>
      <c r="T46" s="8"/>
      <c r="U46" s="8"/>
      <c r="AB46" s="8"/>
      <c r="AC46" s="8"/>
    </row>
    <row r="47" spans="1:31" s="8" customFormat="1" ht="21" x14ac:dyDescent="0.4">
      <c r="A47" s="627"/>
      <c r="B47" s="350"/>
      <c r="C47" s="838" t="s">
        <v>264</v>
      </c>
      <c r="D47" s="833"/>
      <c r="E47" s="324"/>
      <c r="F47" s="338">
        <f>IF('Gårdens info'!$D$23&gt;0,J47/'Gårdens info'!$D$23,0)</f>
        <v>867.2619047619047</v>
      </c>
      <c r="G47" s="151" t="s">
        <v>14</v>
      </c>
      <c r="H47" s="339">
        <f>IF('Gårdens info'!$G$23&gt;0,F47/'Gårdens info'!$G$23,0)</f>
        <v>0.10840773809523808</v>
      </c>
      <c r="I47" s="151" t="s">
        <v>6</v>
      </c>
      <c r="J47" s="298">
        <f>Ägendom!AR76</f>
        <v>867.2619047619047</v>
      </c>
      <c r="K47" s="151" t="s">
        <v>384</v>
      </c>
      <c r="L47" s="329"/>
      <c r="M47" s="321"/>
      <c r="AB47"/>
      <c r="AC47"/>
    </row>
    <row r="48" spans="1:31" s="8" customFormat="1" ht="21" x14ac:dyDescent="0.4">
      <c r="A48" s="627"/>
      <c r="B48" s="350"/>
      <c r="C48" s="838" t="s">
        <v>265</v>
      </c>
      <c r="D48" s="833"/>
      <c r="E48" s="324"/>
      <c r="F48" s="338">
        <f>IF('Gårdens info'!$D$23&gt;0,J48/'Gårdens info'!$D$23,0)</f>
        <v>87.351190476190482</v>
      </c>
      <c r="G48" s="151" t="s">
        <v>14</v>
      </c>
      <c r="H48" s="339">
        <f>IF('Gårdens info'!$G$23&gt;0,F48/'Gårdens info'!$G$23,0)</f>
        <v>1.0918898809523811E-2</v>
      </c>
      <c r="I48" s="151" t="s">
        <v>6</v>
      </c>
      <c r="J48" s="298">
        <f>Ägendom!BN76</f>
        <v>87.351190476190482</v>
      </c>
      <c r="K48" s="151" t="s">
        <v>384</v>
      </c>
      <c r="L48" s="329"/>
      <c r="M48" s="321"/>
    </row>
    <row r="49" spans="1:21" s="8" customFormat="1" ht="17.399999999999999" customHeight="1" x14ac:dyDescent="0.3">
      <c r="A49" s="627"/>
      <c r="B49" s="350"/>
      <c r="C49" s="941" t="s">
        <v>266</v>
      </c>
      <c r="D49" s="941"/>
      <c r="E49" s="324"/>
      <c r="F49" s="338">
        <f>IF('Gårdens info'!$D$23&gt;0,J49/'Gårdens info'!$D$23,0)</f>
        <v>506.36904761904759</v>
      </c>
      <c r="G49" s="151" t="s">
        <v>14</v>
      </c>
      <c r="H49" s="339">
        <f>IF('Gårdens info'!$G$23&gt;0,F49/'Gårdens info'!$G$23,0)</f>
        <v>6.3296130952380944E-2</v>
      </c>
      <c r="I49" s="151" t="s">
        <v>6</v>
      </c>
      <c r="J49" s="298">
        <f>Ägendom!CJ76</f>
        <v>506.36904761904759</v>
      </c>
      <c r="K49" s="151" t="s">
        <v>384</v>
      </c>
      <c r="L49" s="329"/>
      <c r="M49" s="321"/>
      <c r="N49"/>
      <c r="O49"/>
      <c r="P49"/>
      <c r="Q49"/>
      <c r="R49"/>
      <c r="S49"/>
      <c r="T49"/>
      <c r="U49"/>
    </row>
    <row r="50" spans="1:21" s="8" customFormat="1" ht="21" x14ac:dyDescent="0.4">
      <c r="A50" s="627"/>
      <c r="B50" s="350"/>
      <c r="C50" s="838" t="s">
        <v>399</v>
      </c>
      <c r="D50" s="833"/>
      <c r="E50" s="324"/>
      <c r="F50" s="338">
        <f>IF('Gårdens info'!$D$23&gt;0,J50/'Gårdens info'!$D$23,0)</f>
        <v>20.254761904761903</v>
      </c>
      <c r="G50" s="151" t="s">
        <v>14</v>
      </c>
      <c r="H50" s="339">
        <f>IF('Gårdens info'!$G$23&gt;0,F50/'Gårdens info'!$G$23,0)</f>
        <v>2.531845238095238E-3</v>
      </c>
      <c r="I50" s="151" t="s">
        <v>6</v>
      </c>
      <c r="J50" s="298">
        <f>Ägendom!DF76</f>
        <v>20.254761904761903</v>
      </c>
      <c r="K50" s="151" t="s">
        <v>384</v>
      </c>
      <c r="L50" s="329"/>
      <c r="M50" s="321"/>
    </row>
    <row r="51" spans="1:21" s="8" customFormat="1" ht="20.399999999999999" x14ac:dyDescent="0.35">
      <c r="A51" s="627"/>
      <c r="B51" s="352"/>
      <c r="C51" s="340" t="s">
        <v>196</v>
      </c>
      <c r="D51" s="341"/>
      <c r="E51" s="324"/>
      <c r="F51" s="342">
        <f>SUM(F47:F50)</f>
        <v>1481.2369047619045</v>
      </c>
      <c r="G51" s="151" t="s">
        <v>14</v>
      </c>
      <c r="H51" s="348">
        <f t="shared" ref="H51:J51" si="6">SUM(H47:H50)</f>
        <v>0.18515461309523806</v>
      </c>
      <c r="I51" s="151" t="s">
        <v>6</v>
      </c>
      <c r="J51" s="342">
        <f t="shared" si="6"/>
        <v>1481.2369047619045</v>
      </c>
      <c r="K51" s="151" t="s">
        <v>384</v>
      </c>
      <c r="L51" s="343"/>
      <c r="M51" s="321"/>
    </row>
    <row r="52" spans="1:21" s="8" customFormat="1" ht="21" x14ac:dyDescent="0.4">
      <c r="A52" s="627"/>
      <c r="B52" s="350"/>
      <c r="C52" s="838"/>
      <c r="D52" s="833"/>
      <c r="E52" s="324"/>
      <c r="F52" s="338"/>
      <c r="G52" s="151"/>
      <c r="H52" s="339"/>
      <c r="I52" s="151"/>
      <c r="J52" s="298"/>
      <c r="K52" s="151"/>
      <c r="L52" s="329"/>
      <c r="M52" s="321"/>
    </row>
    <row r="53" spans="1:21" s="8" customFormat="1" ht="21" customHeight="1" x14ac:dyDescent="0.4">
      <c r="A53" s="627"/>
      <c r="B53" s="951" t="s">
        <v>160</v>
      </c>
      <c r="C53" s="952"/>
      <c r="D53" s="833"/>
      <c r="E53" s="324"/>
      <c r="F53" s="338"/>
      <c r="G53" s="151"/>
      <c r="H53" s="339"/>
      <c r="I53" s="151"/>
      <c r="J53" s="298"/>
      <c r="K53" s="151"/>
      <c r="L53" s="329"/>
      <c r="M53" s="321"/>
    </row>
    <row r="54" spans="1:21" s="8" customFormat="1" ht="19.95" customHeight="1" x14ac:dyDescent="0.4">
      <c r="A54" s="627"/>
      <c r="B54" s="350"/>
      <c r="C54" s="838" t="s">
        <v>264</v>
      </c>
      <c r="D54" s="833"/>
      <c r="E54" s="324"/>
      <c r="F54" s="338">
        <f>IF('Gårdens info'!$D$23&gt;0,J54/'Gårdens info'!$D$23,0)</f>
        <v>0</v>
      </c>
      <c r="G54" s="151" t="s">
        <v>14</v>
      </c>
      <c r="H54" s="339">
        <f>IF('Gårdens info'!$G$23&gt;0,F54/'Gårdens info'!$G$23,0)</f>
        <v>0</v>
      </c>
      <c r="I54" s="151" t="s">
        <v>6</v>
      </c>
      <c r="J54" s="298">
        <f>Ägendom!AR79</f>
        <v>0</v>
      </c>
      <c r="K54" s="151" t="s">
        <v>384</v>
      </c>
      <c r="L54" s="329"/>
      <c r="M54" s="321"/>
    </row>
    <row r="55" spans="1:21" s="8" customFormat="1" ht="21" x14ac:dyDescent="0.4">
      <c r="A55" s="627"/>
      <c r="B55" s="350"/>
      <c r="C55" s="838" t="s">
        <v>265</v>
      </c>
      <c r="D55" s="833"/>
      <c r="E55" s="324"/>
      <c r="F55" s="338">
        <f>IF('Gårdens info'!$D$23&gt;0,J55/'Gårdens info'!$D$23,0)</f>
        <v>0</v>
      </c>
      <c r="G55" s="151" t="s">
        <v>14</v>
      </c>
      <c r="H55" s="339">
        <f>IF('Gårdens info'!$G$23&gt;0,F55/'Gårdens info'!$G$23,0)</f>
        <v>0</v>
      </c>
      <c r="I55" s="151" t="s">
        <v>6</v>
      </c>
      <c r="J55" s="298">
        <f>Ägendom!BN79</f>
        <v>0</v>
      </c>
      <c r="K55" s="151" t="s">
        <v>384</v>
      </c>
      <c r="L55" s="329"/>
      <c r="M55" s="321"/>
    </row>
    <row r="56" spans="1:21" s="8" customFormat="1" ht="17.399999999999999" customHeight="1" x14ac:dyDescent="0.3">
      <c r="A56" s="627"/>
      <c r="B56" s="350"/>
      <c r="C56" s="941" t="s">
        <v>266</v>
      </c>
      <c r="D56" s="941"/>
      <c r="E56" s="324"/>
      <c r="F56" s="338">
        <f>IF('Gårdens info'!$D$23&gt;0,J56/'Gårdens info'!$D$23,0)</f>
        <v>111.1111111111111</v>
      </c>
      <c r="G56" s="151" t="s">
        <v>14</v>
      </c>
      <c r="H56" s="339">
        <f>IF('Gårdens info'!$G$23&gt;0,F56/'Gårdens info'!$G$23,0)</f>
        <v>1.3888888888888888E-2</v>
      </c>
      <c r="I56" s="151" t="s">
        <v>6</v>
      </c>
      <c r="J56" s="298">
        <f>Ägendom!CJ79</f>
        <v>111.1111111111111</v>
      </c>
      <c r="K56" s="151" t="s">
        <v>384</v>
      </c>
      <c r="L56" s="329"/>
      <c r="M56" s="321"/>
    </row>
    <row r="57" spans="1:21" s="8" customFormat="1" ht="15.6" x14ac:dyDescent="0.3">
      <c r="A57" s="627"/>
      <c r="B57" s="349"/>
      <c r="C57" s="323" t="s">
        <v>196</v>
      </c>
      <c r="D57" s="323"/>
      <c r="E57" s="323"/>
      <c r="F57" s="342">
        <f>SUM(F54:F56)</f>
        <v>111.1111111111111</v>
      </c>
      <c r="G57" s="151" t="s">
        <v>14</v>
      </c>
      <c r="H57" s="348">
        <f t="shared" ref="H57:J57" si="7">SUM(H54:H56)</f>
        <v>1.3888888888888888E-2</v>
      </c>
      <c r="I57" s="151" t="s">
        <v>6</v>
      </c>
      <c r="J57" s="342">
        <f t="shared" si="7"/>
        <v>111.1111111111111</v>
      </c>
      <c r="K57" s="151" t="s">
        <v>384</v>
      </c>
      <c r="L57" s="347"/>
      <c r="M57" s="353"/>
    </row>
    <row r="58" spans="1:21" s="8" customFormat="1" ht="21" customHeight="1" x14ac:dyDescent="0.4">
      <c r="A58" s="627"/>
      <c r="B58" s="932" t="s">
        <v>229</v>
      </c>
      <c r="C58" s="933"/>
      <c r="D58" s="933"/>
      <c r="E58" s="324"/>
      <c r="F58" s="328">
        <f>F37+F44+F51+F57</f>
        <v>7345.4329664902998</v>
      </c>
      <c r="G58" s="329" t="s">
        <v>14</v>
      </c>
      <c r="H58" s="330">
        <f>H37+H44+H51+H57</f>
        <v>0.91817912081128739</v>
      </c>
      <c r="I58" s="329" t="s">
        <v>6</v>
      </c>
      <c r="J58" s="331">
        <f>J37+J44+J51+J57</f>
        <v>7345.4329664902998</v>
      </c>
      <c r="K58" s="329" t="s">
        <v>384</v>
      </c>
      <c r="L58" s="329"/>
      <c r="M58" s="321"/>
    </row>
    <row r="59" spans="1:21" s="8" customFormat="1" ht="15.6" x14ac:dyDescent="0.3">
      <c r="A59" s="627"/>
      <c r="B59" s="349"/>
      <c r="C59" s="324"/>
      <c r="D59" s="324"/>
      <c r="E59" s="324"/>
      <c r="F59" s="325"/>
      <c r="G59" s="304"/>
      <c r="H59" s="326"/>
      <c r="I59" s="304"/>
      <c r="J59" s="320"/>
      <c r="K59" s="304"/>
      <c r="L59" s="327"/>
      <c r="M59" s="321"/>
    </row>
    <row r="60" spans="1:21" s="8" customFormat="1" ht="21" x14ac:dyDescent="0.4">
      <c r="A60" s="627"/>
      <c r="B60" s="319" t="s">
        <v>230</v>
      </c>
      <c r="C60" s="324"/>
      <c r="D60" s="324"/>
      <c r="E60" s="324"/>
      <c r="F60" s="325"/>
      <c r="G60" s="304"/>
      <c r="H60" s="326"/>
      <c r="I60" s="304"/>
      <c r="J60" s="320"/>
      <c r="K60" s="304"/>
      <c r="L60" s="327"/>
      <c r="M60" s="321"/>
    </row>
    <row r="61" spans="1:21" s="8" customFormat="1" ht="19.95" customHeight="1" x14ac:dyDescent="0.3">
      <c r="A61" s="627"/>
      <c r="B61" s="354" t="s">
        <v>270</v>
      </c>
      <c r="C61" s="306"/>
      <c r="D61" s="310"/>
      <c r="E61" s="310"/>
      <c r="F61" s="311"/>
      <c r="G61" s="153"/>
      <c r="H61" s="310"/>
      <c r="I61" s="310"/>
      <c r="J61" s="310"/>
      <c r="K61" s="310"/>
      <c r="L61" s="310"/>
      <c r="M61" s="295"/>
    </row>
    <row r="62" spans="1:21" s="8" customFormat="1" ht="15" x14ac:dyDescent="0.25">
      <c r="A62" s="627"/>
      <c r="B62" s="296"/>
      <c r="C62" s="289" t="s">
        <v>230</v>
      </c>
      <c r="D62" s="297"/>
      <c r="E62" s="297"/>
      <c r="F62" s="298">
        <f>IF('Gårdens info'!D23&gt;0,H190,0)</f>
        <v>3770</v>
      </c>
      <c r="G62" s="151" t="s">
        <v>14</v>
      </c>
      <c r="H62" s="299">
        <f>IF('Gårdens info'!G23&gt;0,F62/'Gårdens info'!$G$23,0)</f>
        <v>0.47125</v>
      </c>
      <c r="I62" s="151" t="s">
        <v>6</v>
      </c>
      <c r="J62" s="298">
        <f>F62*'Gårdens info'!D23</f>
        <v>3770</v>
      </c>
      <c r="K62" s="151" t="s">
        <v>384</v>
      </c>
      <c r="L62" s="297"/>
      <c r="M62" s="300"/>
    </row>
    <row r="63" spans="1:21" s="8" customFormat="1" ht="17.399999999999999" x14ac:dyDescent="0.3">
      <c r="A63" s="627"/>
      <c r="B63" s="309"/>
      <c r="C63" s="306"/>
      <c r="D63" s="310"/>
      <c r="E63" s="310"/>
      <c r="F63" s="311"/>
      <c r="G63" s="153"/>
      <c r="H63" s="310"/>
      <c r="I63" s="310"/>
      <c r="J63" s="310"/>
      <c r="K63" s="310"/>
      <c r="L63" s="310"/>
      <c r="M63" s="295"/>
    </row>
    <row r="64" spans="1:21" s="8" customFormat="1" ht="21" customHeight="1" x14ac:dyDescent="0.4">
      <c r="A64" s="627"/>
      <c r="B64" s="932" t="s">
        <v>230</v>
      </c>
      <c r="C64" s="933"/>
      <c r="D64" s="933"/>
      <c r="E64" s="324"/>
      <c r="F64" s="328">
        <f>F62</f>
        <v>3770</v>
      </c>
      <c r="G64" s="329" t="s">
        <v>14</v>
      </c>
      <c r="H64" s="330">
        <f>H62</f>
        <v>0.47125</v>
      </c>
      <c r="I64" s="329" t="s">
        <v>6</v>
      </c>
      <c r="J64" s="331">
        <f>J62</f>
        <v>3770</v>
      </c>
      <c r="K64" s="329" t="s">
        <v>384</v>
      </c>
      <c r="L64" s="329"/>
      <c r="M64" s="321"/>
    </row>
    <row r="65" spans="1:13" s="8" customFormat="1" ht="21" x14ac:dyDescent="0.4">
      <c r="A65" s="627"/>
      <c r="B65" s="844"/>
      <c r="C65" s="845"/>
      <c r="D65" s="845"/>
      <c r="E65" s="324"/>
      <c r="F65" s="328"/>
      <c r="G65" s="329"/>
      <c r="H65" s="330"/>
      <c r="I65" s="329"/>
      <c r="J65" s="331"/>
      <c r="K65" s="329"/>
      <c r="L65" s="329"/>
      <c r="M65" s="321"/>
    </row>
    <row r="66" spans="1:13" s="8" customFormat="1" ht="21" customHeight="1" x14ac:dyDescent="0.4">
      <c r="A66" s="627"/>
      <c r="B66" s="932" t="s">
        <v>268</v>
      </c>
      <c r="C66" s="933"/>
      <c r="D66" s="933"/>
      <c r="E66" s="324"/>
      <c r="F66" s="328">
        <f>F29+F58+F64</f>
        <v>107505.45222574957</v>
      </c>
      <c r="G66" s="329" t="s">
        <v>14</v>
      </c>
      <c r="H66" s="705">
        <f>H29+H58+H64</f>
        <v>13.438181528218694</v>
      </c>
      <c r="I66" s="329" t="s">
        <v>6</v>
      </c>
      <c r="J66" s="328">
        <f>J29+J58+J64</f>
        <v>107505.45222574957</v>
      </c>
      <c r="K66" s="329" t="s">
        <v>384</v>
      </c>
      <c r="L66" s="329"/>
      <c r="M66" s="321"/>
    </row>
    <row r="67" spans="1:13" s="8" customFormat="1" ht="21" x14ac:dyDescent="0.4">
      <c r="A67" s="627"/>
      <c r="B67" s="844"/>
      <c r="C67" s="845"/>
      <c r="D67" s="845"/>
      <c r="E67" s="324"/>
      <c r="F67" s="328"/>
      <c r="G67" s="329"/>
      <c r="H67" s="330"/>
      <c r="I67" s="329"/>
      <c r="J67" s="331"/>
      <c r="K67" s="329"/>
      <c r="L67" s="329"/>
      <c r="M67" s="321"/>
    </row>
    <row r="68" spans="1:13" s="8" customFormat="1" ht="25.95" customHeight="1" thickBot="1" x14ac:dyDescent="0.45">
      <c r="A68" s="627"/>
      <c r="B68" s="936" t="s">
        <v>269</v>
      </c>
      <c r="C68" s="937"/>
      <c r="D68" s="937"/>
      <c r="E68" s="315"/>
      <c r="F68" s="355">
        <f>F11-F29-F58-F64</f>
        <v>-67105.452225749556</v>
      </c>
      <c r="G68" s="356" t="s">
        <v>14</v>
      </c>
      <c r="H68" s="357">
        <f>H11-H29-H58-H64</f>
        <v>-8.3881815282186949</v>
      </c>
      <c r="I68" s="356" t="s">
        <v>6</v>
      </c>
      <c r="J68" s="355">
        <f>J11-J29-J58-J64</f>
        <v>-67105.452225749556</v>
      </c>
      <c r="K68" s="356" t="s">
        <v>26</v>
      </c>
      <c r="L68" s="356"/>
      <c r="M68" s="316"/>
    </row>
    <row r="69" spans="1:13" s="8" customFormat="1" ht="21.6" thickBot="1" x14ac:dyDescent="0.45">
      <c r="A69" s="627"/>
      <c r="B69" s="546"/>
      <c r="C69" s="534"/>
      <c r="D69" s="534"/>
      <c r="E69" s="534"/>
      <c r="F69" s="534"/>
      <c r="G69" s="534"/>
      <c r="H69" s="534"/>
      <c r="I69" s="534"/>
      <c r="J69" s="534"/>
      <c r="K69" s="534"/>
      <c r="L69" s="534"/>
      <c r="M69" s="534"/>
    </row>
    <row r="70" spans="1:13" s="8" customFormat="1" ht="21.6" thickBot="1" x14ac:dyDescent="0.45">
      <c r="A70" s="627"/>
      <c r="B70" s="980" t="s">
        <v>270</v>
      </c>
      <c r="C70" s="981"/>
      <c r="D70" s="981"/>
      <c r="E70" s="982"/>
      <c r="F70" s="534"/>
      <c r="G70" s="534"/>
      <c r="H70" s="534"/>
      <c r="I70" s="534"/>
      <c r="J70" s="534"/>
      <c r="K70" s="534"/>
      <c r="L70" s="983" t="s">
        <v>271</v>
      </c>
      <c r="M70" s="983"/>
    </row>
    <row r="71" spans="1:13" s="8" customFormat="1" x14ac:dyDescent="0.25">
      <c r="A71" s="627"/>
      <c r="B71" s="534"/>
      <c r="C71" s="534"/>
      <c r="D71" s="534"/>
      <c r="E71" s="534"/>
      <c r="F71" s="534"/>
      <c r="G71" s="534"/>
      <c r="H71" s="534"/>
      <c r="I71" s="534"/>
      <c r="J71" s="534"/>
      <c r="K71" s="534"/>
      <c r="L71" s="534"/>
      <c r="M71" s="534"/>
    </row>
    <row r="72" spans="1:13" s="8" customFormat="1" ht="15.6" x14ac:dyDescent="0.3">
      <c r="A72" s="627"/>
      <c r="B72" s="113" t="s">
        <v>356</v>
      </c>
      <c r="C72" s="65"/>
      <c r="D72" s="65"/>
      <c r="E72" s="65"/>
      <c r="F72" s="959" t="s">
        <v>159</v>
      </c>
      <c r="G72" s="959"/>
      <c r="H72" s="959" t="s">
        <v>158</v>
      </c>
      <c r="I72" s="959"/>
      <c r="J72" s="959" t="s">
        <v>273</v>
      </c>
      <c r="K72" s="959"/>
      <c r="L72" s="143" t="s">
        <v>274</v>
      </c>
      <c r="M72" s="67"/>
    </row>
    <row r="73" spans="1:13" s="8" customFormat="1" ht="13.8" thickBot="1" x14ac:dyDescent="0.3">
      <c r="A73" s="627"/>
      <c r="B73" s="69"/>
      <c r="C73" s="65"/>
      <c r="D73" s="65"/>
      <c r="E73" s="65"/>
      <c r="F73" s="65"/>
      <c r="G73" s="65"/>
      <c r="H73" s="65"/>
      <c r="I73" s="65"/>
      <c r="J73" s="67"/>
      <c r="K73" s="67"/>
      <c r="L73" s="67"/>
      <c r="M73" s="67"/>
    </row>
    <row r="74" spans="1:13" s="8" customFormat="1" ht="13.8" thickBot="1" x14ac:dyDescent="0.3">
      <c r="A74" s="627"/>
      <c r="B74" s="65"/>
      <c r="C74" s="66" t="s">
        <v>402</v>
      </c>
      <c r="D74" s="67"/>
      <c r="E74" s="65"/>
      <c r="F74" s="118">
        <v>30000</v>
      </c>
      <c r="G74" s="65" t="s">
        <v>327</v>
      </c>
      <c r="H74" s="95">
        <v>0.25</v>
      </c>
      <c r="I74" s="70" t="s">
        <v>152</v>
      </c>
      <c r="J74" s="235">
        <f>F74*H74</f>
        <v>7500</v>
      </c>
      <c r="K74" s="65" t="s">
        <v>14</v>
      </c>
      <c r="L74" s="65"/>
      <c r="M74" s="67"/>
    </row>
    <row r="75" spans="1:13" s="8" customFormat="1" ht="13.8" thickBot="1" x14ac:dyDescent="0.3">
      <c r="A75" s="627"/>
      <c r="B75" s="65"/>
      <c r="C75" s="65" t="s">
        <v>403</v>
      </c>
      <c r="D75" s="66"/>
      <c r="E75" s="65"/>
      <c r="F75" s="118"/>
      <c r="G75" s="65" t="s">
        <v>327</v>
      </c>
      <c r="H75" s="95"/>
      <c r="I75" s="70" t="s">
        <v>152</v>
      </c>
      <c r="J75" s="235">
        <f t="shared" ref="J75:J76" si="8">F75*H75</f>
        <v>0</v>
      </c>
      <c r="K75" s="65" t="s">
        <v>14</v>
      </c>
      <c r="L75" s="67"/>
      <c r="M75" s="67"/>
    </row>
    <row r="76" spans="1:13" s="8" customFormat="1" ht="13.8" thickBot="1" x14ac:dyDescent="0.3">
      <c r="A76" s="627"/>
      <c r="B76" s="65"/>
      <c r="C76" s="65" t="s">
        <v>403</v>
      </c>
      <c r="D76" s="66"/>
      <c r="E76" s="65"/>
      <c r="F76" s="118"/>
      <c r="G76" s="65" t="s">
        <v>327</v>
      </c>
      <c r="H76" s="95"/>
      <c r="I76" s="70" t="s">
        <v>152</v>
      </c>
      <c r="J76" s="235">
        <f t="shared" si="8"/>
        <v>0</v>
      </c>
      <c r="K76" s="65" t="s">
        <v>14</v>
      </c>
      <c r="L76" s="67"/>
      <c r="M76" s="67"/>
    </row>
    <row r="77" spans="1:13" s="8" customFormat="1" ht="13.95" customHeight="1" x14ac:dyDescent="0.25">
      <c r="A77" s="627"/>
      <c r="B77" s="71"/>
      <c r="C77" s="71" t="s">
        <v>196</v>
      </c>
      <c r="D77" s="71"/>
      <c r="E77" s="71"/>
      <c r="F77" s="71"/>
      <c r="G77" s="71"/>
      <c r="H77" s="279"/>
      <c r="I77" s="279"/>
      <c r="J77" s="280">
        <f>SUM(J74:J76)</f>
        <v>7500</v>
      </c>
      <c r="K77" s="71" t="s">
        <v>14</v>
      </c>
      <c r="L77" s="71"/>
      <c r="M77" s="71"/>
    </row>
    <row r="78" spans="1:13" s="8" customFormat="1" x14ac:dyDescent="0.25">
      <c r="A78" s="627"/>
      <c r="B78" s="65"/>
      <c r="C78" s="65"/>
      <c r="D78" s="71"/>
      <c r="E78" s="65"/>
      <c r="F78" s="65"/>
      <c r="G78" s="65"/>
      <c r="H78" s="70"/>
      <c r="I78" s="70"/>
      <c r="J78" s="235"/>
      <c r="K78" s="65"/>
      <c r="L78" s="67"/>
      <c r="M78" s="67"/>
    </row>
    <row r="79" spans="1:13" s="8" customFormat="1" x14ac:dyDescent="0.25">
      <c r="A79" s="627"/>
      <c r="B79" s="534"/>
      <c r="C79" s="534"/>
      <c r="D79" s="534"/>
      <c r="E79" s="534"/>
      <c r="F79" s="534"/>
      <c r="G79" s="534"/>
      <c r="H79" s="534"/>
      <c r="I79" s="534"/>
      <c r="J79" s="534"/>
      <c r="K79" s="534"/>
      <c r="L79" s="534"/>
      <c r="M79" s="534"/>
    </row>
    <row r="80" spans="1:13" s="8" customFormat="1" ht="15.6" x14ac:dyDescent="0.3">
      <c r="A80" s="627"/>
      <c r="B80" s="120" t="s">
        <v>473</v>
      </c>
      <c r="C80" s="121"/>
      <c r="D80" s="121"/>
      <c r="E80" s="121"/>
      <c r="F80" s="960" t="s">
        <v>159</v>
      </c>
      <c r="G80" s="960"/>
      <c r="H80" s="960" t="s">
        <v>158</v>
      </c>
      <c r="I80" s="960"/>
      <c r="J80" s="960" t="s">
        <v>273</v>
      </c>
      <c r="K80" s="960"/>
      <c r="L80" s="123"/>
      <c r="M80" s="123"/>
    </row>
    <row r="81" spans="1:29" s="8" customFormat="1" ht="15.6" x14ac:dyDescent="0.3">
      <c r="A81" s="627"/>
      <c r="B81" s="120"/>
      <c r="C81" s="121"/>
      <c r="D81" s="121"/>
      <c r="E81" s="121"/>
      <c r="F81" s="477"/>
      <c r="G81" s="477"/>
      <c r="H81" s="477"/>
      <c r="I81" s="477"/>
      <c r="J81" s="477"/>
      <c r="K81" s="477"/>
      <c r="L81" s="123"/>
      <c r="M81" s="123"/>
    </row>
    <row r="82" spans="1:29" s="8" customFormat="1" ht="13.8" thickBot="1" x14ac:dyDescent="0.3">
      <c r="A82" s="627"/>
      <c r="B82" s="636" t="s">
        <v>474</v>
      </c>
      <c r="C82" s="121"/>
      <c r="D82" s="121"/>
      <c r="E82" s="121"/>
      <c r="F82" s="121"/>
      <c r="G82" s="121"/>
      <c r="H82" s="122"/>
      <c r="I82" s="122"/>
      <c r="J82" s="123"/>
      <c r="K82" s="123"/>
      <c r="L82" s="123"/>
      <c r="M82" s="123"/>
    </row>
    <row r="83" spans="1:29" s="239" customFormat="1" ht="16.2" thickBot="1" x14ac:dyDescent="0.35">
      <c r="A83" s="394"/>
      <c r="B83" s="121"/>
      <c r="C83" s="121" t="s">
        <v>433</v>
      </c>
      <c r="D83" s="123"/>
      <c r="E83" s="121"/>
      <c r="F83" s="118">
        <v>100</v>
      </c>
      <c r="G83" s="121" t="s">
        <v>21</v>
      </c>
      <c r="H83" s="99">
        <v>1.7</v>
      </c>
      <c r="I83" s="122" t="s">
        <v>6</v>
      </c>
      <c r="J83" s="124">
        <f>F83*H83</f>
        <v>170</v>
      </c>
      <c r="K83" s="121" t="s">
        <v>14</v>
      </c>
      <c r="L83" s="123"/>
      <c r="M83" s="123"/>
      <c r="N83" s="8"/>
      <c r="O83" s="8"/>
      <c r="P83" s="8"/>
      <c r="Q83" s="8"/>
      <c r="R83" s="8"/>
      <c r="S83" s="8"/>
      <c r="T83" s="8"/>
      <c r="U83" s="8"/>
      <c r="AB83" s="8"/>
      <c r="AC83" s="8"/>
    </row>
    <row r="84" spans="1:29" s="8" customFormat="1" ht="16.2" thickBot="1" x14ac:dyDescent="0.35">
      <c r="A84" s="627"/>
      <c r="B84" s="121"/>
      <c r="C84" s="121" t="s">
        <v>434</v>
      </c>
      <c r="D84" s="123"/>
      <c r="E84" s="121"/>
      <c r="F84" s="118">
        <v>130</v>
      </c>
      <c r="G84" s="121" t="s">
        <v>21</v>
      </c>
      <c r="H84" s="99">
        <v>2.1</v>
      </c>
      <c r="I84" s="122" t="s">
        <v>6</v>
      </c>
      <c r="J84" s="124">
        <f t="shared" ref="J84:J93" si="9">F84*H84</f>
        <v>273</v>
      </c>
      <c r="K84" s="121" t="s">
        <v>14</v>
      </c>
      <c r="L84" s="123"/>
      <c r="M84" s="123"/>
      <c r="AB84" s="239"/>
      <c r="AC84" s="239"/>
    </row>
    <row r="85" spans="1:29" s="8" customFormat="1" ht="13.8" thickBot="1" x14ac:dyDescent="0.3">
      <c r="A85" s="627"/>
      <c r="B85" s="121"/>
      <c r="C85" s="121" t="s">
        <v>280</v>
      </c>
      <c r="D85" s="123"/>
      <c r="E85" s="121"/>
      <c r="F85" s="96"/>
      <c r="G85" s="121" t="s">
        <v>21</v>
      </c>
      <c r="H85" s="99"/>
      <c r="I85" s="122" t="s">
        <v>6</v>
      </c>
      <c r="J85" s="124">
        <f t="shared" si="9"/>
        <v>0</v>
      </c>
      <c r="K85" s="121" t="s">
        <v>14</v>
      </c>
      <c r="L85" s="123"/>
      <c r="M85" s="123"/>
    </row>
    <row r="86" spans="1:29" s="8" customFormat="1" ht="16.2" thickBot="1" x14ac:dyDescent="0.35">
      <c r="A86" s="627"/>
      <c r="B86" s="121"/>
      <c r="C86" s="121" t="s">
        <v>280</v>
      </c>
      <c r="D86" s="123"/>
      <c r="E86" s="121"/>
      <c r="F86" s="96"/>
      <c r="G86" s="121" t="s">
        <v>21</v>
      </c>
      <c r="H86" s="99"/>
      <c r="I86" s="122" t="s">
        <v>6</v>
      </c>
      <c r="J86" s="124">
        <f t="shared" si="9"/>
        <v>0</v>
      </c>
      <c r="K86" s="121" t="s">
        <v>14</v>
      </c>
      <c r="L86" s="123"/>
      <c r="M86" s="123"/>
      <c r="N86" s="239"/>
      <c r="O86" s="239"/>
      <c r="P86" s="239"/>
      <c r="Q86" s="239"/>
      <c r="R86" s="239"/>
      <c r="S86" s="239"/>
      <c r="T86" s="239"/>
      <c r="U86" s="239"/>
    </row>
    <row r="87" spans="1:29" s="8" customFormat="1" ht="16.2" thickBot="1" x14ac:dyDescent="0.35">
      <c r="A87" s="627"/>
      <c r="B87" s="121"/>
      <c r="C87" s="121" t="s">
        <v>280</v>
      </c>
      <c r="D87" s="123"/>
      <c r="E87" s="121"/>
      <c r="F87" s="96"/>
      <c r="G87" s="121" t="s">
        <v>21</v>
      </c>
      <c r="H87" s="99"/>
      <c r="I87" s="122" t="s">
        <v>6</v>
      </c>
      <c r="J87" s="124">
        <f t="shared" ref="J87:J88" si="10">F87*H87</f>
        <v>0</v>
      </c>
      <c r="K87" s="121" t="s">
        <v>14</v>
      </c>
      <c r="L87" s="123"/>
      <c r="M87" s="123"/>
      <c r="N87" s="239"/>
      <c r="O87" s="239"/>
      <c r="P87" s="239"/>
      <c r="Q87" s="239"/>
      <c r="R87" s="239"/>
      <c r="S87" s="239"/>
      <c r="T87" s="239"/>
      <c r="U87" s="239"/>
    </row>
    <row r="88" spans="1:29" s="8" customFormat="1" ht="16.2" thickBot="1" x14ac:dyDescent="0.35">
      <c r="A88" s="627"/>
      <c r="B88" s="121"/>
      <c r="C88" s="121" t="s">
        <v>280</v>
      </c>
      <c r="D88" s="123"/>
      <c r="E88" s="121"/>
      <c r="F88" s="96"/>
      <c r="G88" s="121" t="s">
        <v>21</v>
      </c>
      <c r="H88" s="99"/>
      <c r="I88" s="122" t="s">
        <v>6</v>
      </c>
      <c r="J88" s="124">
        <f t="shared" si="10"/>
        <v>0</v>
      </c>
      <c r="K88" s="121" t="s">
        <v>14</v>
      </c>
      <c r="L88" s="123"/>
      <c r="M88" s="123"/>
      <c r="N88" s="239"/>
      <c r="O88" s="239"/>
      <c r="P88" s="239"/>
      <c r="Q88" s="239"/>
      <c r="R88" s="239"/>
      <c r="S88" s="239"/>
      <c r="T88" s="239"/>
      <c r="U88" s="239"/>
    </row>
    <row r="89" spans="1:29" s="8" customFormat="1" ht="15.6" x14ac:dyDescent="0.3">
      <c r="A89" s="627"/>
      <c r="B89" s="121"/>
      <c r="C89" s="121"/>
      <c r="D89" s="123"/>
      <c r="E89" s="121"/>
      <c r="F89" s="637"/>
      <c r="G89" s="637"/>
      <c r="H89" s="638"/>
      <c r="I89" s="122"/>
      <c r="J89" s="124"/>
      <c r="K89" s="121"/>
      <c r="L89" s="123"/>
      <c r="M89" s="123"/>
      <c r="N89" s="239"/>
      <c r="O89" s="239"/>
      <c r="P89" s="239"/>
      <c r="Q89" s="239"/>
      <c r="R89" s="239"/>
      <c r="S89" s="239"/>
      <c r="T89" s="239"/>
      <c r="U89" s="239"/>
    </row>
    <row r="90" spans="1:29" s="8" customFormat="1" ht="16.2" thickBot="1" x14ac:dyDescent="0.35">
      <c r="A90" s="627"/>
      <c r="B90" s="636" t="s">
        <v>475</v>
      </c>
      <c r="C90" s="121"/>
      <c r="D90" s="123"/>
      <c r="E90" s="121"/>
      <c r="F90" s="637"/>
      <c r="G90" s="637"/>
      <c r="H90" s="638"/>
      <c r="I90" s="638"/>
      <c r="J90" s="124"/>
      <c r="K90" s="121"/>
      <c r="L90" s="123"/>
      <c r="M90" s="123"/>
      <c r="N90" s="239"/>
      <c r="O90" s="239"/>
      <c r="P90" s="239"/>
      <c r="Q90" s="239"/>
      <c r="R90" s="239"/>
      <c r="S90" s="239"/>
      <c r="T90" s="239"/>
      <c r="U90" s="239"/>
    </row>
    <row r="91" spans="1:29" s="8" customFormat="1" ht="13.05" customHeight="1" thickBot="1" x14ac:dyDescent="0.3">
      <c r="A91" s="627"/>
      <c r="B91" s="121"/>
      <c r="C91" s="121" t="s">
        <v>476</v>
      </c>
      <c r="D91" s="121"/>
      <c r="E91" s="121"/>
      <c r="F91" s="96">
        <v>500</v>
      </c>
      <c r="G91" s="121" t="s">
        <v>153</v>
      </c>
      <c r="H91" s="96">
        <v>4.2</v>
      </c>
      <c r="I91" s="122" t="s">
        <v>152</v>
      </c>
      <c r="J91" s="124">
        <f t="shared" si="9"/>
        <v>2100</v>
      </c>
      <c r="K91" s="121" t="s">
        <v>14</v>
      </c>
      <c r="L91" s="123"/>
      <c r="M91" s="123"/>
    </row>
    <row r="92" spans="1:29" s="77" customFormat="1" ht="16.05" customHeight="1" thickBot="1" x14ac:dyDescent="0.35">
      <c r="A92" s="628"/>
      <c r="B92" s="121"/>
      <c r="C92" s="121" t="s">
        <v>477</v>
      </c>
      <c r="D92" s="121"/>
      <c r="E92" s="121"/>
      <c r="F92" s="96"/>
      <c r="G92" s="121" t="s">
        <v>21</v>
      </c>
      <c r="H92" s="99"/>
      <c r="I92" s="122" t="s">
        <v>6</v>
      </c>
      <c r="J92" s="124">
        <f t="shared" ref="J92" si="11">F92*H92</f>
        <v>0</v>
      </c>
      <c r="K92" s="121" t="s">
        <v>14</v>
      </c>
      <c r="L92" s="123"/>
      <c r="M92" s="123"/>
      <c r="N92" s="8"/>
      <c r="O92" s="8"/>
      <c r="P92" s="8"/>
      <c r="Q92" s="8"/>
      <c r="R92" s="8"/>
      <c r="S92" s="8"/>
      <c r="T92" s="8"/>
      <c r="U92" s="8"/>
      <c r="AB92" s="8"/>
      <c r="AC92" s="8"/>
    </row>
    <row r="93" spans="1:29" s="91" customFormat="1" ht="18" thickBot="1" x14ac:dyDescent="0.35">
      <c r="A93" s="629"/>
      <c r="B93" s="121"/>
      <c r="C93" s="121" t="s">
        <v>477</v>
      </c>
      <c r="D93" s="121"/>
      <c r="E93" s="121"/>
      <c r="F93" s="96"/>
      <c r="G93" s="121" t="s">
        <v>21</v>
      </c>
      <c r="H93" s="99"/>
      <c r="I93" s="122" t="s">
        <v>6</v>
      </c>
      <c r="J93" s="124">
        <f t="shared" si="9"/>
        <v>0</v>
      </c>
      <c r="K93" s="121" t="s">
        <v>14</v>
      </c>
      <c r="L93" s="123"/>
      <c r="M93" s="123"/>
      <c r="AB93" s="77"/>
      <c r="AC93" s="77"/>
    </row>
    <row r="94" spans="1:29" s="77" customFormat="1" ht="17.399999999999999" x14ac:dyDescent="0.3">
      <c r="A94" s="628"/>
      <c r="B94" s="270"/>
      <c r="C94" s="270" t="s">
        <v>478</v>
      </c>
      <c r="D94" s="270"/>
      <c r="E94" s="270"/>
      <c r="F94" s="270"/>
      <c r="G94" s="270"/>
      <c r="H94" s="270"/>
      <c r="I94" s="271"/>
      <c r="J94" s="272">
        <f>SUM(J83:J93)</f>
        <v>2543</v>
      </c>
      <c r="K94" s="270" t="s">
        <v>14</v>
      </c>
      <c r="L94" s="270"/>
      <c r="M94" s="270"/>
      <c r="N94" s="8"/>
      <c r="O94" s="8"/>
      <c r="P94" s="8"/>
      <c r="Q94" s="8"/>
      <c r="R94" s="8"/>
      <c r="S94" s="8"/>
      <c r="T94" s="8"/>
      <c r="U94" s="8"/>
      <c r="AB94" s="91"/>
      <c r="AC94" s="91"/>
    </row>
    <row r="95" spans="1:29" s="8" customFormat="1" ht="25.05" customHeight="1" x14ac:dyDescent="0.3">
      <c r="A95" s="627"/>
      <c r="B95" s="121"/>
      <c r="C95" s="121"/>
      <c r="D95" s="121"/>
      <c r="E95" s="121"/>
      <c r="F95" s="121"/>
      <c r="G95" s="121"/>
      <c r="H95" s="121"/>
      <c r="I95" s="122"/>
      <c r="J95" s="124"/>
      <c r="K95" s="121"/>
      <c r="L95" s="123"/>
      <c r="M95" s="123"/>
      <c r="N95" s="77"/>
      <c r="O95" s="77"/>
      <c r="P95" s="77"/>
      <c r="Q95" s="77"/>
      <c r="R95" s="77"/>
      <c r="S95" s="77"/>
      <c r="T95" s="77"/>
      <c r="U95" s="77"/>
      <c r="AB95" s="77"/>
      <c r="AC95" s="77"/>
    </row>
    <row r="96" spans="1:29" s="8" customFormat="1" x14ac:dyDescent="0.25">
      <c r="A96" s="627"/>
      <c r="B96" s="534"/>
      <c r="C96" s="534"/>
      <c r="D96" s="534"/>
      <c r="E96" s="534"/>
      <c r="F96" s="534"/>
      <c r="G96" s="534"/>
      <c r="H96" s="534"/>
      <c r="I96" s="534"/>
      <c r="J96" s="534"/>
      <c r="K96" s="534"/>
      <c r="L96" s="534"/>
      <c r="M96" s="534"/>
      <c r="N96"/>
      <c r="O96"/>
      <c r="P96"/>
      <c r="Q96"/>
      <c r="R96"/>
      <c r="S96"/>
      <c r="T96"/>
      <c r="U96"/>
    </row>
    <row r="97" spans="1:29" s="8" customFormat="1" ht="15.6" x14ac:dyDescent="0.3">
      <c r="A97" s="627"/>
      <c r="B97" s="109" t="s">
        <v>479</v>
      </c>
      <c r="C97" s="72"/>
      <c r="D97" s="72"/>
      <c r="E97" s="72"/>
      <c r="F97" s="957" t="s">
        <v>159</v>
      </c>
      <c r="G97" s="957"/>
      <c r="H97" s="958" t="s">
        <v>158</v>
      </c>
      <c r="I97" s="958"/>
      <c r="J97" s="957" t="s">
        <v>273</v>
      </c>
      <c r="K97" s="957"/>
      <c r="L97" s="79"/>
      <c r="M97" s="79"/>
      <c r="N97" s="91"/>
      <c r="O97" s="91"/>
      <c r="P97" s="91"/>
      <c r="Q97" s="91"/>
      <c r="R97" s="91"/>
      <c r="S97" s="91"/>
      <c r="T97" s="91"/>
      <c r="U97" s="91"/>
    </row>
    <row r="98" spans="1:29" ht="57" customHeight="1" x14ac:dyDescent="0.3">
      <c r="B98" s="109"/>
      <c r="C98" s="72"/>
      <c r="D98" s="462" t="s">
        <v>364</v>
      </c>
      <c r="E98" s="72"/>
      <c r="F98" s="478"/>
      <c r="G98" s="478"/>
      <c r="H98" s="475"/>
      <c r="I98" s="475"/>
      <c r="J98" s="478"/>
      <c r="K98" s="478"/>
      <c r="L98" s="79"/>
      <c r="M98" s="79"/>
      <c r="N98" s="8"/>
      <c r="O98" s="8"/>
      <c r="P98" s="8"/>
      <c r="Q98" s="8"/>
      <c r="R98" s="8"/>
      <c r="S98" s="8"/>
      <c r="T98" s="8"/>
      <c r="U98" s="8"/>
      <c r="AB98" s="8"/>
      <c r="AC98" s="8"/>
    </row>
    <row r="99" spans="1:29" ht="13.8" thickBot="1" x14ac:dyDescent="0.3">
      <c r="B99" s="214" t="s">
        <v>357</v>
      </c>
      <c r="C99" s="72"/>
      <c r="D99" s="72"/>
      <c r="E99" s="72"/>
      <c r="F99" s="74"/>
      <c r="G99" s="74"/>
      <c r="H99" s="73"/>
      <c r="I99" s="73"/>
      <c r="J99" s="79"/>
      <c r="K99" s="79"/>
      <c r="L99" s="79"/>
      <c r="M99" s="79"/>
      <c r="N99" s="8"/>
      <c r="O99" s="8"/>
      <c r="P99" s="8"/>
      <c r="Q99" s="8"/>
      <c r="R99" s="8"/>
      <c r="S99" s="8"/>
      <c r="T99" s="8"/>
      <c r="U99" s="8"/>
    </row>
    <row r="100" spans="1:29" ht="13.8" thickBot="1" x14ac:dyDescent="0.3">
      <c r="B100" s="72"/>
      <c r="C100" s="72" t="s">
        <v>80</v>
      </c>
      <c r="D100" s="79"/>
      <c r="E100" s="72"/>
      <c r="F100" s="119">
        <v>0.3</v>
      </c>
      <c r="G100" s="74" t="s">
        <v>20</v>
      </c>
      <c r="H100" s="99">
        <v>39.200000000000003</v>
      </c>
      <c r="I100" s="73" t="s">
        <v>5</v>
      </c>
      <c r="J100" s="79">
        <f t="shared" ref="J100:J112" si="12">F100*H100</f>
        <v>11.76</v>
      </c>
      <c r="K100" s="72" t="s">
        <v>14</v>
      </c>
      <c r="L100" s="79"/>
      <c r="M100" s="79"/>
      <c r="N100" s="8"/>
      <c r="O100" s="8"/>
      <c r="P100" s="8"/>
      <c r="Q100" s="8"/>
      <c r="R100" s="8"/>
      <c r="S100" s="8"/>
      <c r="T100" s="8"/>
      <c r="U100" s="8"/>
    </row>
    <row r="101" spans="1:29" ht="13.8" thickBot="1" x14ac:dyDescent="0.3">
      <c r="B101" s="72"/>
      <c r="C101" s="72" t="s">
        <v>90</v>
      </c>
      <c r="D101" s="79"/>
      <c r="E101" s="72"/>
      <c r="F101" s="119">
        <v>0.9</v>
      </c>
      <c r="G101" s="74" t="s">
        <v>21</v>
      </c>
      <c r="H101" s="99">
        <v>140</v>
      </c>
      <c r="I101" s="73" t="s">
        <v>6</v>
      </c>
      <c r="J101" s="79">
        <f t="shared" si="12"/>
        <v>126</v>
      </c>
      <c r="K101" s="72" t="s">
        <v>14</v>
      </c>
      <c r="L101" s="79"/>
      <c r="M101" s="79"/>
    </row>
    <row r="102" spans="1:29" ht="13.8" thickBot="1" x14ac:dyDescent="0.3">
      <c r="B102" s="72"/>
      <c r="C102" s="72" t="s">
        <v>82</v>
      </c>
      <c r="D102" s="79"/>
      <c r="E102" s="72"/>
      <c r="F102" s="119">
        <v>2</v>
      </c>
      <c r="G102" s="74" t="s">
        <v>21</v>
      </c>
      <c r="H102" s="99">
        <v>108</v>
      </c>
      <c r="I102" s="73" t="s">
        <v>6</v>
      </c>
      <c r="J102" s="79">
        <f t="shared" si="12"/>
        <v>216</v>
      </c>
      <c r="K102" s="72" t="s">
        <v>14</v>
      </c>
      <c r="L102" s="79"/>
      <c r="M102" s="79"/>
    </row>
    <row r="103" spans="1:29" ht="13.8" thickBot="1" x14ac:dyDescent="0.3">
      <c r="B103" s="72"/>
      <c r="C103" s="72" t="s">
        <v>326</v>
      </c>
      <c r="D103" s="79"/>
      <c r="E103" s="72"/>
      <c r="F103" s="119"/>
      <c r="G103" s="74" t="s">
        <v>21</v>
      </c>
      <c r="H103" s="99"/>
      <c r="I103" s="73" t="s">
        <v>6</v>
      </c>
      <c r="J103" s="79">
        <f t="shared" ref="J103" si="13">F103*H103</f>
        <v>0</v>
      </c>
      <c r="K103" s="72" t="s">
        <v>14</v>
      </c>
      <c r="L103" s="79"/>
      <c r="M103" s="79"/>
    </row>
    <row r="104" spans="1:29" ht="13.8" thickBot="1" x14ac:dyDescent="0.3">
      <c r="B104" s="72"/>
      <c r="C104" s="72" t="s">
        <v>326</v>
      </c>
      <c r="D104" s="72"/>
      <c r="E104" s="72"/>
      <c r="F104" s="119"/>
      <c r="G104" s="74" t="s">
        <v>20</v>
      </c>
      <c r="H104" s="99"/>
      <c r="I104" s="73" t="s">
        <v>5</v>
      </c>
      <c r="J104" s="79">
        <f t="shared" si="12"/>
        <v>0</v>
      </c>
      <c r="K104" s="72" t="s">
        <v>14</v>
      </c>
      <c r="L104" s="79"/>
      <c r="M104" s="79"/>
    </row>
    <row r="105" spans="1:29" ht="13.8" thickBot="1" x14ac:dyDescent="0.3">
      <c r="B105" s="72"/>
      <c r="C105" s="72" t="s">
        <v>326</v>
      </c>
      <c r="D105" s="72"/>
      <c r="E105" s="72"/>
      <c r="F105" s="119"/>
      <c r="G105" s="74" t="s">
        <v>20</v>
      </c>
      <c r="H105" s="99"/>
      <c r="I105" s="73" t="s">
        <v>5</v>
      </c>
      <c r="J105" s="79">
        <f t="shared" si="12"/>
        <v>0</v>
      </c>
      <c r="K105" s="72" t="s">
        <v>14</v>
      </c>
      <c r="L105" s="79"/>
      <c r="M105" s="79"/>
    </row>
    <row r="106" spans="1:29" x14ac:dyDescent="0.25">
      <c r="B106" s="72"/>
      <c r="C106" s="72"/>
      <c r="D106" s="72"/>
      <c r="E106" s="72"/>
      <c r="F106" s="212"/>
      <c r="G106" s="74"/>
      <c r="H106" s="213"/>
      <c r="I106" s="73"/>
      <c r="J106" s="79"/>
      <c r="K106" s="72"/>
      <c r="L106" s="79"/>
      <c r="M106" s="79"/>
    </row>
    <row r="107" spans="1:29" ht="13.8" thickBot="1" x14ac:dyDescent="0.3">
      <c r="B107" s="214" t="s">
        <v>358</v>
      </c>
      <c r="C107" s="72"/>
      <c r="D107" s="72"/>
      <c r="E107" s="72"/>
      <c r="F107" s="212"/>
      <c r="G107" s="74"/>
      <c r="H107" s="213"/>
      <c r="I107" s="73"/>
      <c r="J107" s="79"/>
      <c r="K107" s="72"/>
      <c r="L107" s="79"/>
      <c r="M107" s="79"/>
    </row>
    <row r="108" spans="1:29" ht="13.8" thickBot="1" x14ac:dyDescent="0.3">
      <c r="B108" s="72"/>
      <c r="C108" s="72" t="s">
        <v>85</v>
      </c>
      <c r="D108" s="72"/>
      <c r="E108" s="72"/>
      <c r="F108" s="98">
        <v>375000</v>
      </c>
      <c r="G108" s="74" t="s">
        <v>153</v>
      </c>
      <c r="H108" s="593">
        <v>2E-3</v>
      </c>
      <c r="I108" s="73" t="s">
        <v>152</v>
      </c>
      <c r="J108" s="79">
        <f t="shared" si="12"/>
        <v>750</v>
      </c>
      <c r="K108" s="72" t="s">
        <v>14</v>
      </c>
      <c r="L108" s="79"/>
      <c r="M108" s="79"/>
    </row>
    <row r="109" spans="1:29" ht="13.8" thickBot="1" x14ac:dyDescent="0.3">
      <c r="B109" s="72"/>
      <c r="C109" s="72" t="s">
        <v>86</v>
      </c>
      <c r="D109" s="72"/>
      <c r="E109" s="72"/>
      <c r="F109" s="119">
        <v>0.5</v>
      </c>
      <c r="G109" s="74" t="s">
        <v>21</v>
      </c>
      <c r="H109" s="119">
        <v>255</v>
      </c>
      <c r="I109" s="72" t="s">
        <v>6</v>
      </c>
      <c r="J109" s="79">
        <f t="shared" si="12"/>
        <v>127.5</v>
      </c>
      <c r="K109" s="72" t="s">
        <v>14</v>
      </c>
      <c r="L109" s="79"/>
      <c r="M109" s="79"/>
    </row>
    <row r="110" spans="1:29" ht="13.8" thickBot="1" x14ac:dyDescent="0.3">
      <c r="B110" s="72"/>
      <c r="C110" s="72" t="s">
        <v>326</v>
      </c>
      <c r="D110" s="72"/>
      <c r="E110" s="72"/>
      <c r="F110" s="119"/>
      <c r="G110" s="74"/>
      <c r="H110" s="119"/>
      <c r="I110" s="241"/>
      <c r="J110" s="79"/>
      <c r="K110" s="72"/>
      <c r="L110" s="79"/>
      <c r="M110" s="79"/>
    </row>
    <row r="111" spans="1:29" s="8" customFormat="1" ht="13.8" thickBot="1" x14ac:dyDescent="0.3">
      <c r="A111" s="627"/>
      <c r="B111" s="72"/>
      <c r="C111" s="72" t="s">
        <v>326</v>
      </c>
      <c r="D111" s="72"/>
      <c r="E111" s="72"/>
      <c r="F111" s="119"/>
      <c r="G111" s="74"/>
      <c r="H111" s="119"/>
      <c r="I111" s="241"/>
      <c r="J111" s="79">
        <f t="shared" si="12"/>
        <v>0</v>
      </c>
      <c r="K111" s="72" t="s">
        <v>14</v>
      </c>
      <c r="L111" s="79"/>
      <c r="M111" s="79"/>
      <c r="N111"/>
      <c r="O111"/>
      <c r="P111"/>
      <c r="Q111"/>
      <c r="R111"/>
      <c r="S111"/>
      <c r="T111"/>
      <c r="U111"/>
      <c r="AB111"/>
      <c r="AC111"/>
    </row>
    <row r="112" spans="1:29" ht="13.8" thickBot="1" x14ac:dyDescent="0.3">
      <c r="B112" s="72"/>
      <c r="C112" s="72" t="s">
        <v>326</v>
      </c>
      <c r="D112" s="72"/>
      <c r="E112" s="72"/>
      <c r="F112" s="119"/>
      <c r="G112" s="74"/>
      <c r="H112" s="119"/>
      <c r="I112" s="73"/>
      <c r="J112" s="79">
        <f t="shared" si="12"/>
        <v>0</v>
      </c>
      <c r="K112" s="72" t="s">
        <v>14</v>
      </c>
      <c r="L112" s="79"/>
      <c r="M112" s="79"/>
      <c r="AB112" s="8"/>
      <c r="AC112" s="8"/>
    </row>
    <row r="113" spans="2:21" x14ac:dyDescent="0.25">
      <c r="B113" s="241"/>
      <c r="C113" s="241" t="s">
        <v>196</v>
      </c>
      <c r="D113" s="241"/>
      <c r="E113" s="241"/>
      <c r="F113" s="273"/>
      <c r="G113" s="242"/>
      <c r="H113" s="273"/>
      <c r="I113" s="73"/>
      <c r="J113" s="241">
        <f>SUM(J100:J112)</f>
        <v>1231.26</v>
      </c>
      <c r="K113" s="241" t="s">
        <v>14</v>
      </c>
      <c r="L113" s="241"/>
      <c r="M113" s="241"/>
    </row>
    <row r="114" spans="2:21" ht="24" customHeight="1" x14ac:dyDescent="0.25">
      <c r="B114" s="241"/>
      <c r="C114" s="241"/>
      <c r="D114" s="241"/>
      <c r="E114" s="241"/>
      <c r="F114" s="273"/>
      <c r="G114" s="242"/>
      <c r="H114" s="273"/>
      <c r="I114" s="73"/>
      <c r="J114" s="241"/>
      <c r="K114" s="241"/>
      <c r="L114" s="241"/>
      <c r="M114" s="241"/>
    </row>
    <row r="115" spans="2:21" x14ac:dyDescent="0.25">
      <c r="B115" s="536"/>
      <c r="C115" s="536"/>
      <c r="D115" s="536"/>
      <c r="E115" s="536"/>
      <c r="F115" s="542"/>
      <c r="G115" s="544"/>
      <c r="H115" s="542"/>
      <c r="I115" s="537"/>
      <c r="J115" s="536"/>
      <c r="K115" s="536"/>
      <c r="L115" s="536"/>
      <c r="M115" s="536"/>
    </row>
    <row r="116" spans="2:21" ht="15.6" x14ac:dyDescent="0.3">
      <c r="B116" s="639" t="s">
        <v>437</v>
      </c>
      <c r="C116" s="640"/>
      <c r="D116" s="640"/>
      <c r="E116" s="640"/>
      <c r="F116" s="975" t="s">
        <v>159</v>
      </c>
      <c r="G116" s="975"/>
      <c r="H116" s="975" t="s">
        <v>158</v>
      </c>
      <c r="I116" s="975"/>
      <c r="J116" s="975" t="s">
        <v>273</v>
      </c>
      <c r="K116" s="975"/>
      <c r="L116" s="129"/>
      <c r="M116" s="129"/>
    </row>
    <row r="117" spans="2:21" ht="13.8" thickBot="1" x14ac:dyDescent="0.3">
      <c r="B117" s="640"/>
      <c r="C117" s="640"/>
      <c r="D117" s="640"/>
      <c r="E117" s="640"/>
      <c r="F117" s="640"/>
      <c r="G117" s="640"/>
      <c r="H117" s="641"/>
      <c r="I117" s="641"/>
      <c r="J117" s="129"/>
      <c r="K117" s="129"/>
      <c r="L117" s="129"/>
      <c r="M117" s="129"/>
    </row>
    <row r="118" spans="2:21" ht="13.8" thickBot="1" x14ac:dyDescent="0.3">
      <c r="B118" s="640"/>
      <c r="C118" s="640" t="s">
        <v>480</v>
      </c>
      <c r="D118" s="129"/>
      <c r="E118" s="640"/>
      <c r="F118" s="642">
        <v>5</v>
      </c>
      <c r="G118" s="640" t="s">
        <v>439</v>
      </c>
      <c r="H118" s="643">
        <v>160</v>
      </c>
      <c r="I118" s="641" t="s">
        <v>440</v>
      </c>
      <c r="J118" s="644">
        <f t="shared" ref="J118:J120" si="14">F118*H118</f>
        <v>800</v>
      </c>
      <c r="K118" s="640" t="s">
        <v>14</v>
      </c>
      <c r="L118" s="129"/>
      <c r="M118" s="129"/>
    </row>
    <row r="119" spans="2:21" ht="13.8" thickBot="1" x14ac:dyDescent="0.3">
      <c r="B119" s="640"/>
      <c r="C119" s="640" t="s">
        <v>292</v>
      </c>
      <c r="D119" s="640"/>
      <c r="E119" s="640"/>
      <c r="F119" s="642"/>
      <c r="G119" s="640" t="s">
        <v>0</v>
      </c>
      <c r="H119" s="643"/>
      <c r="I119" s="641" t="s">
        <v>14</v>
      </c>
      <c r="J119" s="644">
        <f t="shared" si="14"/>
        <v>0</v>
      </c>
      <c r="K119" s="640" t="s">
        <v>14</v>
      </c>
      <c r="L119" s="129"/>
      <c r="M119" s="129"/>
    </row>
    <row r="120" spans="2:21" ht="13.8" thickBot="1" x14ac:dyDescent="0.3">
      <c r="B120" s="640"/>
      <c r="C120" s="640" t="s">
        <v>292</v>
      </c>
      <c r="D120" s="640"/>
      <c r="E120" s="640"/>
      <c r="F120" s="642"/>
      <c r="G120" s="640" t="s">
        <v>0</v>
      </c>
      <c r="H120" s="643"/>
      <c r="I120" s="641" t="s">
        <v>14</v>
      </c>
      <c r="J120" s="644">
        <f t="shared" si="14"/>
        <v>0</v>
      </c>
      <c r="K120" s="640" t="s">
        <v>14</v>
      </c>
      <c r="L120" s="129"/>
      <c r="M120" s="129"/>
    </row>
    <row r="121" spans="2:21" x14ac:dyDescent="0.25">
      <c r="B121" s="369"/>
      <c r="C121" s="369" t="s">
        <v>196</v>
      </c>
      <c r="D121" s="369"/>
      <c r="E121" s="369"/>
      <c r="F121" s="645"/>
      <c r="G121" s="369"/>
      <c r="H121" s="646"/>
      <c r="I121" s="647"/>
      <c r="J121" s="648">
        <f>SUM(J118:J120)</f>
        <v>800</v>
      </c>
      <c r="K121" s="369" t="s">
        <v>14</v>
      </c>
      <c r="L121" s="369"/>
      <c r="M121" s="369"/>
    </row>
    <row r="122" spans="2:21" ht="25.05" customHeight="1" x14ac:dyDescent="0.25">
      <c r="B122" s="640"/>
      <c r="C122" s="640"/>
      <c r="D122" s="640"/>
      <c r="E122" s="640"/>
      <c r="F122" s="640"/>
      <c r="G122" s="640"/>
      <c r="H122" s="641"/>
      <c r="I122" s="641"/>
      <c r="J122" s="644"/>
      <c r="K122" s="640"/>
      <c r="L122" s="129"/>
      <c r="M122" s="129"/>
    </row>
    <row r="123" spans="2:21" x14ac:dyDescent="0.25">
      <c r="B123" s="534"/>
      <c r="C123" s="534"/>
      <c r="D123" s="534"/>
      <c r="E123" s="534"/>
      <c r="F123" s="534"/>
      <c r="G123" s="534"/>
      <c r="H123" s="534"/>
      <c r="I123" s="534"/>
      <c r="J123" s="534"/>
      <c r="K123" s="534"/>
      <c r="L123" s="534"/>
      <c r="M123" s="534"/>
      <c r="N123" s="8"/>
      <c r="O123" s="8"/>
      <c r="P123" s="8"/>
      <c r="Q123" s="8"/>
      <c r="R123" s="8"/>
      <c r="S123" s="8"/>
      <c r="T123" s="8"/>
      <c r="U123" s="8"/>
    </row>
    <row r="124" spans="2:21" ht="15.6" x14ac:dyDescent="0.3">
      <c r="B124" s="110" t="s">
        <v>481</v>
      </c>
      <c r="C124" s="82"/>
      <c r="D124" s="82"/>
      <c r="E124" s="82"/>
      <c r="F124" s="965" t="s">
        <v>159</v>
      </c>
      <c r="G124" s="965"/>
      <c r="H124" s="965" t="s">
        <v>158</v>
      </c>
      <c r="I124" s="965"/>
      <c r="J124" s="965" t="s">
        <v>273</v>
      </c>
      <c r="K124" s="965"/>
      <c r="L124" s="84"/>
      <c r="M124" s="84"/>
    </row>
    <row r="125" spans="2:21" ht="13.8" thickBot="1" x14ac:dyDescent="0.3">
      <c r="B125" s="82"/>
      <c r="C125" s="82"/>
      <c r="D125" s="82"/>
      <c r="E125" s="82"/>
      <c r="F125" s="82"/>
      <c r="G125" s="82"/>
      <c r="H125" s="83"/>
      <c r="I125" s="83"/>
      <c r="J125" s="84"/>
      <c r="K125" s="84"/>
      <c r="L125" s="84"/>
      <c r="M125" s="84"/>
    </row>
    <row r="126" spans="2:21" ht="13.8" thickBot="1" x14ac:dyDescent="0.3">
      <c r="B126" s="82"/>
      <c r="C126" s="82" t="s">
        <v>442</v>
      </c>
      <c r="D126" s="82"/>
      <c r="E126" s="82"/>
      <c r="F126" s="463">
        <f>IF(S10&gt;0,S10*'Gårdens info'!$G$23/1,0)</f>
        <v>0</v>
      </c>
      <c r="G126" s="82" t="s">
        <v>153</v>
      </c>
      <c r="H126" s="99">
        <v>0</v>
      </c>
      <c r="I126" s="83" t="s">
        <v>152</v>
      </c>
      <c r="J126" s="85">
        <f>F126*H126</f>
        <v>0</v>
      </c>
      <c r="K126" s="82" t="s">
        <v>14</v>
      </c>
      <c r="L126" s="84"/>
      <c r="M126" s="84"/>
    </row>
    <row r="127" spans="2:21" ht="13.8" thickBot="1" x14ac:dyDescent="0.3">
      <c r="B127" s="82"/>
      <c r="C127" s="82" t="s">
        <v>443</v>
      </c>
      <c r="D127" s="84"/>
      <c r="E127" s="82"/>
      <c r="F127" s="463">
        <f>IF(S11&gt;0,S11*'Gårdens info'!$G$23/5,0)</f>
        <v>0</v>
      </c>
      <c r="G127" s="82" t="s">
        <v>153</v>
      </c>
      <c r="H127" s="99">
        <v>0.65</v>
      </c>
      <c r="I127" s="83" t="s">
        <v>152</v>
      </c>
      <c r="J127" s="85">
        <f>F127*H127</f>
        <v>0</v>
      </c>
      <c r="K127" s="82" t="s">
        <v>14</v>
      </c>
      <c r="L127" s="84"/>
      <c r="M127" s="84"/>
      <c r="N127" s="5"/>
      <c r="O127" s="5"/>
    </row>
    <row r="128" spans="2:21" ht="13.8" thickBot="1" x14ac:dyDescent="0.3">
      <c r="B128" s="82"/>
      <c r="C128" s="82" t="s">
        <v>444</v>
      </c>
      <c r="D128" s="84"/>
      <c r="E128" s="82"/>
      <c r="F128" s="463">
        <f>IF(S12&gt;0,S12*'Gårdens info'!$G$23/3,0)</f>
        <v>0</v>
      </c>
      <c r="G128" s="82" t="s">
        <v>153</v>
      </c>
      <c r="H128" s="99">
        <v>0.89</v>
      </c>
      <c r="I128" s="83" t="s">
        <v>152</v>
      </c>
      <c r="J128" s="85">
        <f t="shared" ref="J128:J133" si="15">F128*H128</f>
        <v>0</v>
      </c>
      <c r="K128" s="82" t="s">
        <v>14</v>
      </c>
      <c r="L128" s="84"/>
      <c r="M128" s="84"/>
      <c r="N128" s="5"/>
      <c r="O128" s="5"/>
    </row>
    <row r="129" spans="2:15" ht="13.8" thickBot="1" x14ac:dyDescent="0.3">
      <c r="B129" s="82"/>
      <c r="C129" s="82" t="s">
        <v>445</v>
      </c>
      <c r="D129" s="84"/>
      <c r="E129" s="82"/>
      <c r="F129" s="463">
        <f>IF(S13&gt;0,S13*'Gårdens info'!$G$23/0.5,0)</f>
        <v>1600</v>
      </c>
      <c r="G129" s="82" t="s">
        <v>153</v>
      </c>
      <c r="H129" s="99">
        <v>1.35</v>
      </c>
      <c r="I129" s="83" t="s">
        <v>152</v>
      </c>
      <c r="J129" s="85">
        <f t="shared" si="15"/>
        <v>2160</v>
      </c>
      <c r="K129" s="82" t="s">
        <v>14</v>
      </c>
      <c r="L129" s="84"/>
      <c r="M129" s="84"/>
      <c r="N129" s="5"/>
      <c r="O129" s="5"/>
    </row>
    <row r="130" spans="2:15" ht="13.8" thickBot="1" x14ac:dyDescent="0.3">
      <c r="B130" s="82"/>
      <c r="C130" s="82" t="s">
        <v>446</v>
      </c>
      <c r="D130" s="84"/>
      <c r="E130" s="82"/>
      <c r="F130" s="463">
        <f>IF(S14&gt;0,S14*'Gårdens info'!$G$23/0.25,0)</f>
        <v>28800</v>
      </c>
      <c r="G130" s="82" t="s">
        <v>153</v>
      </c>
      <c r="H130" s="99">
        <v>0.95</v>
      </c>
      <c r="I130" s="83" t="s">
        <v>152</v>
      </c>
      <c r="J130" s="85">
        <f t="shared" si="15"/>
        <v>27360</v>
      </c>
      <c r="K130" s="82" t="s">
        <v>14</v>
      </c>
      <c r="L130" s="84"/>
      <c r="M130" s="84"/>
      <c r="N130" s="5"/>
      <c r="O130" s="5"/>
    </row>
    <row r="131" spans="2:15" ht="13.8" thickBot="1" x14ac:dyDescent="0.3">
      <c r="B131" s="82"/>
      <c r="C131" s="99" t="s">
        <v>290</v>
      </c>
      <c r="D131" s="99"/>
      <c r="E131" s="82" t="s">
        <v>21</v>
      </c>
      <c r="F131" s="463">
        <f>IF(S15&gt;0,S15*'Gårdens info'!$G$23/D131,0)</f>
        <v>0</v>
      </c>
      <c r="G131" s="82" t="s">
        <v>153</v>
      </c>
      <c r="H131" s="99"/>
      <c r="I131" s="83" t="s">
        <v>152</v>
      </c>
      <c r="J131" s="85">
        <f t="shared" si="15"/>
        <v>0</v>
      </c>
      <c r="K131" s="82" t="s">
        <v>14</v>
      </c>
      <c r="L131" s="84"/>
      <c r="M131" s="84"/>
      <c r="N131" s="5"/>
      <c r="O131" s="5"/>
    </row>
    <row r="132" spans="2:15" ht="13.8" thickBot="1" x14ac:dyDescent="0.3">
      <c r="B132" s="82"/>
      <c r="C132" s="99" t="s">
        <v>290</v>
      </c>
      <c r="D132" s="99"/>
      <c r="E132" s="82" t="s">
        <v>21</v>
      </c>
      <c r="F132" s="463">
        <f>IF(S16&gt;0,S16*'Gårdens info'!$G$23/D132,0)</f>
        <v>0</v>
      </c>
      <c r="G132" s="82" t="s">
        <v>153</v>
      </c>
      <c r="H132" s="99"/>
      <c r="I132" s="83" t="s">
        <v>152</v>
      </c>
      <c r="J132" s="85">
        <f t="shared" ref="J132" si="16">F132*H132</f>
        <v>0</v>
      </c>
      <c r="K132" s="82" t="s">
        <v>14</v>
      </c>
      <c r="L132" s="84"/>
      <c r="M132" s="84"/>
      <c r="N132" s="5"/>
      <c r="O132" s="5"/>
    </row>
    <row r="133" spans="2:15" ht="13.8" thickBot="1" x14ac:dyDescent="0.3">
      <c r="B133" s="82"/>
      <c r="C133" s="99" t="s">
        <v>290</v>
      </c>
      <c r="D133" s="99"/>
      <c r="E133" s="82" t="s">
        <v>21</v>
      </c>
      <c r="F133" s="463">
        <f>IF(S17&gt;0,S17*'Gårdens info'!$G$23/D133,0)</f>
        <v>0</v>
      </c>
      <c r="G133" s="82" t="s">
        <v>153</v>
      </c>
      <c r="H133" s="99"/>
      <c r="I133" s="83" t="s">
        <v>152</v>
      </c>
      <c r="J133" s="85">
        <f t="shared" si="15"/>
        <v>0</v>
      </c>
      <c r="K133" s="82" t="s">
        <v>14</v>
      </c>
      <c r="L133" s="84"/>
      <c r="M133" s="84"/>
      <c r="N133" s="5"/>
      <c r="O133" s="5"/>
    </row>
    <row r="134" spans="2:15" x14ac:dyDescent="0.25">
      <c r="B134" s="245"/>
      <c r="C134" s="245" t="s">
        <v>196</v>
      </c>
      <c r="D134" s="245"/>
      <c r="E134" s="245"/>
      <c r="F134" s="246"/>
      <c r="G134" s="245"/>
      <c r="H134" s="247"/>
      <c r="I134" s="248"/>
      <c r="J134" s="249">
        <f>SUM(J127:J133)</f>
        <v>29520</v>
      </c>
      <c r="K134" s="245" t="s">
        <v>14</v>
      </c>
      <c r="L134" s="245"/>
      <c r="M134" s="245"/>
      <c r="N134" s="5"/>
      <c r="O134" s="5"/>
    </row>
    <row r="135" spans="2:15" ht="25.95" customHeight="1" x14ac:dyDescent="0.25">
      <c r="B135" s="82"/>
      <c r="C135" s="82"/>
      <c r="D135" s="82"/>
      <c r="E135" s="82"/>
      <c r="F135" s="82"/>
      <c r="G135" s="82"/>
      <c r="H135" s="83"/>
      <c r="I135" s="83"/>
      <c r="J135" s="85"/>
      <c r="K135" s="82"/>
      <c r="L135" s="84"/>
      <c r="M135" s="84"/>
      <c r="N135" s="5"/>
      <c r="O135" s="5"/>
    </row>
    <row r="136" spans="2:15" x14ac:dyDescent="0.25">
      <c r="B136" s="148"/>
      <c r="C136" s="148"/>
      <c r="D136" s="148"/>
      <c r="E136" s="148"/>
      <c r="F136" s="148"/>
      <c r="G136" s="148"/>
      <c r="H136" s="148"/>
      <c r="I136" s="148"/>
      <c r="J136" s="148"/>
      <c r="K136" s="148"/>
      <c r="L136" s="148"/>
      <c r="M136" s="148"/>
      <c r="N136" s="5"/>
      <c r="O136" s="5"/>
    </row>
    <row r="137" spans="2:15" ht="15.6" x14ac:dyDescent="0.3">
      <c r="B137" s="111" t="s">
        <v>482</v>
      </c>
      <c r="C137" s="87"/>
      <c r="D137" s="87"/>
      <c r="E137" s="87"/>
      <c r="F137" s="966" t="s">
        <v>159</v>
      </c>
      <c r="G137" s="966"/>
      <c r="H137" s="966" t="s">
        <v>158</v>
      </c>
      <c r="I137" s="966"/>
      <c r="J137" s="966" t="s">
        <v>273</v>
      </c>
      <c r="K137" s="966"/>
      <c r="L137" s="89"/>
      <c r="M137" s="89"/>
      <c r="N137" s="5"/>
      <c r="O137" s="5"/>
    </row>
    <row r="138" spans="2:15" ht="13.8" thickBot="1" x14ac:dyDescent="0.3">
      <c r="B138" s="87"/>
      <c r="C138" s="87"/>
      <c r="D138" s="87"/>
      <c r="E138" s="87"/>
      <c r="F138" s="87"/>
      <c r="G138" s="87"/>
      <c r="H138" s="88"/>
      <c r="I138" s="88"/>
      <c r="J138" s="89"/>
      <c r="K138" s="89"/>
      <c r="L138" s="89"/>
      <c r="M138" s="89"/>
      <c r="N138" s="5"/>
      <c r="O138" s="5"/>
    </row>
    <row r="139" spans="2:15" ht="13.8" thickBot="1" x14ac:dyDescent="0.3">
      <c r="B139" s="87"/>
      <c r="C139" s="87" t="s">
        <v>483</v>
      </c>
      <c r="D139" s="89"/>
      <c r="E139" s="87"/>
      <c r="F139" s="96">
        <f>'Gårdens info'!G23*'Gårdens info'!D23</f>
        <v>8000</v>
      </c>
      <c r="G139" s="87" t="s">
        <v>21</v>
      </c>
      <c r="H139" s="99">
        <v>0.15</v>
      </c>
      <c r="I139" s="88" t="s">
        <v>6</v>
      </c>
      <c r="J139" s="90">
        <f t="shared" ref="J139:J141" si="17">F139*H139</f>
        <v>1200</v>
      </c>
      <c r="K139" s="87" t="s">
        <v>14</v>
      </c>
      <c r="L139" s="89"/>
      <c r="M139" s="89"/>
      <c r="N139" s="5"/>
      <c r="O139" s="5"/>
    </row>
    <row r="140" spans="2:15" ht="13.8" thickBot="1" x14ac:dyDescent="0.3">
      <c r="B140" s="87"/>
      <c r="C140" s="87" t="s">
        <v>292</v>
      </c>
      <c r="D140" s="87"/>
      <c r="E140" s="87"/>
      <c r="F140" s="96"/>
      <c r="G140" s="87" t="s">
        <v>21</v>
      </c>
      <c r="H140" s="99"/>
      <c r="I140" s="88" t="s">
        <v>6</v>
      </c>
      <c r="J140" s="90">
        <f t="shared" si="17"/>
        <v>0</v>
      </c>
      <c r="K140" s="87" t="s">
        <v>14</v>
      </c>
      <c r="L140" s="89"/>
      <c r="M140" s="89"/>
      <c r="N140" s="5"/>
      <c r="O140" s="5"/>
    </row>
    <row r="141" spans="2:15" ht="13.8" thickBot="1" x14ac:dyDescent="0.3">
      <c r="B141" s="87"/>
      <c r="C141" s="87" t="s">
        <v>292</v>
      </c>
      <c r="D141" s="87"/>
      <c r="E141" s="87"/>
      <c r="F141" s="96"/>
      <c r="G141" s="87" t="s">
        <v>21</v>
      </c>
      <c r="H141" s="99"/>
      <c r="I141" s="88" t="s">
        <v>6</v>
      </c>
      <c r="J141" s="90">
        <f t="shared" si="17"/>
        <v>0</v>
      </c>
      <c r="K141" s="87" t="s">
        <v>14</v>
      </c>
      <c r="L141" s="89"/>
      <c r="M141" s="89"/>
      <c r="N141" s="5"/>
      <c r="O141" s="5"/>
    </row>
    <row r="142" spans="2:15" x14ac:dyDescent="0.25">
      <c r="B142" s="250"/>
      <c r="C142" s="250" t="s">
        <v>196</v>
      </c>
      <c r="D142" s="250"/>
      <c r="E142" s="250"/>
      <c r="F142" s="251"/>
      <c r="G142" s="250"/>
      <c r="H142" s="252"/>
      <c r="I142" s="253"/>
      <c r="J142" s="254">
        <f>SUM(J139:J141)</f>
        <v>1200</v>
      </c>
      <c r="K142" s="250" t="s">
        <v>14</v>
      </c>
      <c r="L142" s="250"/>
      <c r="M142" s="250"/>
      <c r="N142" s="5"/>
      <c r="O142" s="5"/>
    </row>
    <row r="143" spans="2:15" ht="19.05" customHeight="1" x14ac:dyDescent="0.25">
      <c r="B143" s="87"/>
      <c r="C143" s="87"/>
      <c r="D143" s="87"/>
      <c r="E143" s="87"/>
      <c r="F143" s="87"/>
      <c r="G143" s="87"/>
      <c r="H143" s="88"/>
      <c r="I143" s="88"/>
      <c r="J143" s="90"/>
      <c r="K143" s="87"/>
      <c r="L143" s="89"/>
      <c r="M143" s="89"/>
      <c r="N143" s="5"/>
      <c r="O143" s="5"/>
    </row>
    <row r="144" spans="2:15" x14ac:dyDescent="0.25">
      <c r="B144" s="534"/>
      <c r="C144" s="534"/>
      <c r="D144" s="534"/>
      <c r="E144" s="534"/>
      <c r="F144" s="534"/>
      <c r="G144" s="534"/>
      <c r="H144" s="534"/>
      <c r="I144" s="534"/>
      <c r="J144" s="534"/>
      <c r="K144" s="534"/>
      <c r="L144" s="534"/>
      <c r="M144" s="534"/>
      <c r="N144" s="5"/>
      <c r="O144" s="5"/>
    </row>
    <row r="145" spans="2:15" ht="15.6" x14ac:dyDescent="0.3">
      <c r="B145" s="219" t="s">
        <v>414</v>
      </c>
      <c r="C145" s="220"/>
      <c r="D145" s="220"/>
      <c r="E145" s="220"/>
      <c r="F145" s="964" t="s">
        <v>159</v>
      </c>
      <c r="G145" s="964"/>
      <c r="H145" s="964" t="s">
        <v>158</v>
      </c>
      <c r="I145" s="964"/>
      <c r="J145" s="964" t="s">
        <v>273</v>
      </c>
      <c r="K145" s="964"/>
      <c r="L145" s="222"/>
      <c r="M145" s="222"/>
      <c r="N145" s="5"/>
      <c r="O145" s="5"/>
    </row>
    <row r="146" spans="2:15" ht="13.8" thickBot="1" x14ac:dyDescent="0.3">
      <c r="B146" s="220"/>
      <c r="C146" s="220"/>
      <c r="D146" s="220"/>
      <c r="E146" s="220"/>
      <c r="F146" s="220"/>
      <c r="G146" s="220"/>
      <c r="H146" s="221"/>
      <c r="I146" s="221"/>
      <c r="J146" s="222"/>
      <c r="K146" s="222"/>
      <c r="L146" s="222"/>
      <c r="M146" s="222"/>
      <c r="N146" s="5"/>
      <c r="O146" s="5"/>
    </row>
    <row r="147" spans="2:15" ht="13.8" thickBot="1" x14ac:dyDescent="0.3">
      <c r="B147" s="220"/>
      <c r="C147" s="220" t="s">
        <v>307</v>
      </c>
      <c r="D147" s="222"/>
      <c r="E147" s="220"/>
      <c r="F147" s="96">
        <v>1</v>
      </c>
      <c r="G147" s="220" t="s">
        <v>0</v>
      </c>
      <c r="H147" s="99">
        <v>73</v>
      </c>
      <c r="I147" s="221" t="s">
        <v>14</v>
      </c>
      <c r="J147" s="223">
        <f t="shared" ref="J147:J149" si="18">F147*H147</f>
        <v>73</v>
      </c>
      <c r="K147" s="220" t="s">
        <v>14</v>
      </c>
      <c r="L147" s="222"/>
      <c r="M147" s="222"/>
      <c r="N147" s="5"/>
      <c r="O147" s="5"/>
    </row>
    <row r="148" spans="2:15" ht="13.8" thickBot="1" x14ac:dyDescent="0.3">
      <c r="B148" s="220"/>
      <c r="C148" s="220" t="s">
        <v>292</v>
      </c>
      <c r="D148" s="220"/>
      <c r="E148" s="220"/>
      <c r="F148" s="96"/>
      <c r="G148" s="220" t="s">
        <v>0</v>
      </c>
      <c r="H148" s="99"/>
      <c r="I148" s="221" t="s">
        <v>14</v>
      </c>
      <c r="J148" s="223">
        <f t="shared" si="18"/>
        <v>0</v>
      </c>
      <c r="K148" s="220" t="s">
        <v>14</v>
      </c>
      <c r="L148" s="222"/>
      <c r="M148" s="222"/>
      <c r="N148" s="5"/>
      <c r="O148" s="5"/>
    </row>
    <row r="149" spans="2:15" ht="13.8" thickBot="1" x14ac:dyDescent="0.3">
      <c r="B149" s="220"/>
      <c r="C149" s="220" t="s">
        <v>292</v>
      </c>
      <c r="D149" s="220"/>
      <c r="E149" s="220"/>
      <c r="F149" s="96"/>
      <c r="G149" s="220" t="s">
        <v>0</v>
      </c>
      <c r="H149" s="99"/>
      <c r="I149" s="221" t="s">
        <v>14</v>
      </c>
      <c r="J149" s="223">
        <f t="shared" si="18"/>
        <v>0</v>
      </c>
      <c r="K149" s="220" t="s">
        <v>14</v>
      </c>
      <c r="L149" s="222"/>
      <c r="M149" s="222"/>
      <c r="N149" s="5"/>
      <c r="O149" s="5"/>
    </row>
    <row r="150" spans="2:15" x14ac:dyDescent="0.25">
      <c r="B150" s="255"/>
      <c r="C150" s="255" t="s">
        <v>196</v>
      </c>
      <c r="D150" s="255"/>
      <c r="E150" s="255"/>
      <c r="F150" s="256"/>
      <c r="G150" s="255"/>
      <c r="H150" s="257"/>
      <c r="I150" s="258"/>
      <c r="J150" s="259">
        <f>SUM(J147:J149)</f>
        <v>73</v>
      </c>
      <c r="K150" s="255" t="s">
        <v>14</v>
      </c>
      <c r="L150" s="255"/>
      <c r="M150" s="255"/>
      <c r="N150" s="5"/>
      <c r="O150" s="5"/>
    </row>
    <row r="151" spans="2:15" ht="22.95" customHeight="1" x14ac:dyDescent="0.25">
      <c r="B151" s="220"/>
      <c r="C151" s="220"/>
      <c r="D151" s="220"/>
      <c r="E151" s="220"/>
      <c r="F151" s="220"/>
      <c r="G151" s="220"/>
      <c r="H151" s="221"/>
      <c r="I151" s="221"/>
      <c r="J151" s="223"/>
      <c r="K151" s="220"/>
      <c r="L151" s="222"/>
      <c r="M151" s="222"/>
      <c r="N151" s="5"/>
      <c r="O151" s="5"/>
    </row>
    <row r="152" spans="2:15" x14ac:dyDescent="0.25">
      <c r="D152" s="534"/>
      <c r="E152" s="534"/>
      <c r="F152" s="534"/>
      <c r="G152" s="534"/>
      <c r="H152" s="534"/>
      <c r="I152" s="534"/>
      <c r="J152" s="534"/>
      <c r="K152" s="534"/>
      <c r="L152" s="534"/>
      <c r="M152" s="534"/>
      <c r="N152" s="5"/>
      <c r="O152" s="5"/>
    </row>
    <row r="153" spans="2:15" ht="16.2" thickBot="1" x14ac:dyDescent="0.35">
      <c r="B153" s="225" t="s">
        <v>415</v>
      </c>
      <c r="C153" s="226"/>
      <c r="D153" s="226"/>
      <c r="E153" s="227"/>
      <c r="F153" s="226"/>
      <c r="G153" s="228"/>
      <c r="H153" s="228"/>
      <c r="I153" s="226"/>
      <c r="J153" s="226"/>
      <c r="K153" s="229"/>
      <c r="L153" s="229"/>
      <c r="M153" s="229"/>
      <c r="N153" s="5"/>
      <c r="O153" s="5"/>
    </row>
    <row r="154" spans="2:15" ht="13.8" thickBot="1" x14ac:dyDescent="0.3">
      <c r="B154" s="226"/>
      <c r="C154" s="226" t="s">
        <v>296</v>
      </c>
      <c r="D154" s="229"/>
      <c r="E154" s="230"/>
      <c r="F154" s="96">
        <v>1</v>
      </c>
      <c r="G154" s="231" t="s">
        <v>10</v>
      </c>
      <c r="H154" s="96">
        <v>1200</v>
      </c>
      <c r="I154" s="232" t="s">
        <v>18</v>
      </c>
      <c r="J154" s="229">
        <f>F154*H154</f>
        <v>1200</v>
      </c>
      <c r="K154" s="232" t="s">
        <v>14</v>
      </c>
      <c r="L154" s="229"/>
      <c r="M154" s="229"/>
      <c r="N154" s="5"/>
      <c r="O154" s="5"/>
    </row>
    <row r="155" spans="2:15" ht="13.8" thickBot="1" x14ac:dyDescent="0.3">
      <c r="B155" s="226"/>
      <c r="C155" s="226" t="s">
        <v>297</v>
      </c>
      <c r="D155" s="464">
        <f>F190/2</f>
        <v>130</v>
      </c>
      <c r="E155" s="226" t="s">
        <v>9</v>
      </c>
      <c r="F155" s="96">
        <v>1.27</v>
      </c>
      <c r="G155" s="228" t="s">
        <v>5</v>
      </c>
      <c r="H155" s="96">
        <v>1250</v>
      </c>
      <c r="I155" s="232" t="s">
        <v>20</v>
      </c>
      <c r="J155" s="229">
        <f t="shared" ref="J155:J159" si="19">F155*H155</f>
        <v>1587.5</v>
      </c>
      <c r="K155" s="232" t="s">
        <v>14</v>
      </c>
      <c r="L155" s="229"/>
      <c r="M155" s="229"/>
      <c r="N155" s="5"/>
      <c r="O155" s="5"/>
    </row>
    <row r="156" spans="2:15" ht="13.8" thickBot="1" x14ac:dyDescent="0.3">
      <c r="B156" s="226"/>
      <c r="C156" s="226" t="s">
        <v>298</v>
      </c>
      <c r="D156" s="232">
        <f>D155</f>
        <v>130</v>
      </c>
      <c r="E156" s="226" t="s">
        <v>9</v>
      </c>
      <c r="F156" s="96">
        <v>117</v>
      </c>
      <c r="G156" s="228" t="s">
        <v>6</v>
      </c>
      <c r="H156" s="96">
        <v>1</v>
      </c>
      <c r="I156" s="232" t="s">
        <v>21</v>
      </c>
      <c r="J156" s="229">
        <f t="shared" si="19"/>
        <v>117</v>
      </c>
      <c r="K156" s="232" t="s">
        <v>14</v>
      </c>
      <c r="L156" s="229"/>
      <c r="M156" s="229"/>
      <c r="N156" s="5"/>
      <c r="O156" s="5"/>
    </row>
    <row r="157" spans="2:15" ht="13.8" thickBot="1" x14ac:dyDescent="0.3">
      <c r="B157" s="226"/>
      <c r="C157" s="226" t="s">
        <v>19</v>
      </c>
      <c r="D157" s="229"/>
      <c r="E157" s="232"/>
      <c r="F157" s="96">
        <v>0</v>
      </c>
      <c r="G157" s="228" t="s">
        <v>5</v>
      </c>
      <c r="H157" s="96">
        <v>200</v>
      </c>
      <c r="I157" s="232" t="s">
        <v>20</v>
      </c>
      <c r="J157" s="229">
        <f t="shared" si="19"/>
        <v>0</v>
      </c>
      <c r="K157" s="232" t="s">
        <v>14</v>
      </c>
      <c r="L157" s="229"/>
      <c r="M157" s="229"/>
      <c r="N157" s="5"/>
      <c r="O157" s="5"/>
    </row>
    <row r="158" spans="2:15" ht="13.8" thickBot="1" x14ac:dyDescent="0.3">
      <c r="B158" s="226"/>
      <c r="C158" s="226" t="s">
        <v>299</v>
      </c>
      <c r="D158" s="229"/>
      <c r="E158" s="232"/>
      <c r="F158" s="96">
        <v>2.2000000000000002</v>
      </c>
      <c r="G158" s="228" t="s">
        <v>5</v>
      </c>
      <c r="H158" s="96">
        <v>25</v>
      </c>
      <c r="I158" s="232" t="s">
        <v>20</v>
      </c>
      <c r="J158" s="229">
        <f t="shared" si="19"/>
        <v>55.000000000000007</v>
      </c>
      <c r="K158" s="232" t="s">
        <v>14</v>
      </c>
      <c r="L158" s="229"/>
      <c r="M158" s="229"/>
      <c r="N158" s="5"/>
      <c r="O158" s="5"/>
    </row>
    <row r="159" spans="2:15" ht="13.8" thickBot="1" x14ac:dyDescent="0.3">
      <c r="B159" s="229"/>
      <c r="C159" s="226" t="s">
        <v>416</v>
      </c>
      <c r="D159" s="229"/>
      <c r="E159" s="229"/>
      <c r="F159" s="96"/>
      <c r="G159" s="229"/>
      <c r="H159" s="96"/>
      <c r="I159" s="229"/>
      <c r="J159" s="229">
        <f t="shared" si="19"/>
        <v>0</v>
      </c>
      <c r="K159" s="232" t="s">
        <v>14</v>
      </c>
      <c r="L159" s="229"/>
      <c r="M159" s="229"/>
      <c r="N159" s="5"/>
      <c r="O159" s="5"/>
    </row>
    <row r="160" spans="2:15" x14ac:dyDescent="0.25">
      <c r="B160" s="260"/>
      <c r="C160" s="260" t="s">
        <v>196</v>
      </c>
      <c r="D160" s="260"/>
      <c r="E160" s="260"/>
      <c r="F160" s="261"/>
      <c r="G160" s="260"/>
      <c r="H160" s="261"/>
      <c r="I160" s="260"/>
      <c r="J160" s="260">
        <f>SUM(J154:J159)</f>
        <v>2959.5</v>
      </c>
      <c r="K160" s="262" t="s">
        <v>14</v>
      </c>
      <c r="L160" s="260"/>
      <c r="M160" s="260"/>
      <c r="N160" s="5"/>
      <c r="O160" s="5"/>
    </row>
    <row r="161" spans="1:29" ht="31.05" customHeight="1" x14ac:dyDescent="0.25">
      <c r="B161" s="229"/>
      <c r="C161" s="229"/>
      <c r="D161" s="229"/>
      <c r="E161" s="229"/>
      <c r="F161" s="229"/>
      <c r="G161" s="229"/>
      <c r="H161" s="229"/>
      <c r="I161" s="229"/>
      <c r="J161" s="229"/>
      <c r="K161" s="229"/>
      <c r="L161" s="229"/>
      <c r="M161" s="229"/>
      <c r="N161" s="5"/>
      <c r="O161" s="5"/>
    </row>
    <row r="162" spans="1:29" x14ac:dyDescent="0.25">
      <c r="B162" s="534"/>
      <c r="C162" s="534"/>
      <c r="D162" s="534"/>
      <c r="E162" s="534"/>
      <c r="F162" s="534"/>
      <c r="G162" s="534"/>
      <c r="H162" s="534"/>
      <c r="I162" s="534"/>
      <c r="J162" s="534"/>
      <c r="K162" s="534"/>
      <c r="L162" s="534"/>
      <c r="M162" s="534"/>
      <c r="N162" s="5"/>
      <c r="O162" s="5"/>
    </row>
    <row r="163" spans="1:29" ht="15.6" x14ac:dyDescent="0.3">
      <c r="B163" s="112" t="s">
        <v>484</v>
      </c>
      <c r="C163" s="101"/>
      <c r="D163" s="101"/>
      <c r="E163" s="101"/>
      <c r="F163" s="101"/>
      <c r="G163" s="101"/>
      <c r="H163" s="101"/>
      <c r="I163" s="101"/>
      <c r="J163" s="101"/>
      <c r="K163" s="101"/>
      <c r="L163" s="101"/>
      <c r="M163" s="101"/>
      <c r="N163" s="5"/>
      <c r="O163" s="5"/>
    </row>
    <row r="164" spans="1:29" ht="15.6" x14ac:dyDescent="0.3">
      <c r="B164" s="112"/>
      <c r="C164" s="101"/>
      <c r="D164" s="101"/>
      <c r="E164" s="101"/>
      <c r="F164" s="101"/>
      <c r="G164" s="101"/>
      <c r="H164" s="101"/>
      <c r="I164" s="101"/>
      <c r="J164" s="101"/>
      <c r="K164" s="101"/>
      <c r="L164" s="101"/>
      <c r="M164" s="101"/>
      <c r="N164" s="5"/>
      <c r="O164" s="5"/>
    </row>
    <row r="165" spans="1:29" ht="30" customHeight="1" x14ac:dyDescent="0.25">
      <c r="B165" s="961" t="s">
        <v>302</v>
      </c>
      <c r="C165" s="961"/>
      <c r="D165" s="961"/>
      <c r="E165" s="961"/>
      <c r="F165" s="961"/>
      <c r="G165" s="961"/>
      <c r="H165" s="961"/>
      <c r="I165" s="961"/>
      <c r="J165" s="961"/>
      <c r="K165" s="961"/>
      <c r="L165" s="961"/>
      <c r="M165" s="961"/>
      <c r="N165" s="5"/>
      <c r="O165" s="5"/>
    </row>
    <row r="166" spans="1:29" ht="15.6" x14ac:dyDescent="0.3">
      <c r="B166" s="112"/>
      <c r="C166" s="101"/>
      <c r="D166" s="101"/>
      <c r="E166" s="834"/>
      <c r="F166" s="834"/>
      <c r="G166" s="834"/>
      <c r="H166" s="835"/>
      <c r="I166" s="835"/>
      <c r="J166" s="834"/>
      <c r="K166" s="834"/>
      <c r="L166" s="835"/>
      <c r="M166" s="835"/>
      <c r="N166" s="5"/>
      <c r="O166" s="5"/>
    </row>
    <row r="167" spans="1:29" ht="15.6" x14ac:dyDescent="0.3">
      <c r="B167" s="112"/>
      <c r="C167" s="101"/>
      <c r="D167" s="101"/>
      <c r="E167" s="962" t="s">
        <v>303</v>
      </c>
      <c r="F167" s="962"/>
      <c r="G167" s="962"/>
      <c r="H167" s="963" t="s">
        <v>158</v>
      </c>
      <c r="I167" s="963"/>
      <c r="J167" s="963" t="s">
        <v>304</v>
      </c>
      <c r="K167" s="963"/>
      <c r="L167" s="963" t="s">
        <v>158</v>
      </c>
      <c r="M167" s="963"/>
      <c r="N167" s="5"/>
      <c r="O167" s="5"/>
    </row>
    <row r="168" spans="1:29" ht="15.6" thickBot="1" x14ac:dyDescent="0.3">
      <c r="B168" s="100"/>
      <c r="C168" s="101"/>
      <c r="D168" s="101"/>
      <c r="E168" s="101"/>
      <c r="F168" s="101"/>
      <c r="G168" s="101"/>
      <c r="H168" s="101"/>
      <c r="I168" s="101"/>
      <c r="J168" s="101"/>
      <c r="K168" s="101"/>
      <c r="L168" s="101"/>
      <c r="M168" s="101"/>
      <c r="N168" s="5"/>
      <c r="O168" s="5"/>
    </row>
    <row r="169" spans="1:29" ht="13.8" thickBot="1" x14ac:dyDescent="0.3">
      <c r="B169" s="101"/>
      <c r="C169" s="102" t="s">
        <v>485</v>
      </c>
      <c r="D169" s="101"/>
      <c r="E169" s="101"/>
      <c r="F169" s="115">
        <v>10</v>
      </c>
      <c r="G169" s="104" t="s">
        <v>22</v>
      </c>
      <c r="H169" s="117">
        <v>14.5</v>
      </c>
      <c r="I169" s="104" t="s">
        <v>11</v>
      </c>
      <c r="J169" s="116"/>
      <c r="K169" s="104" t="s">
        <v>22</v>
      </c>
      <c r="L169" s="117">
        <v>14.5</v>
      </c>
      <c r="M169" s="104" t="s">
        <v>11</v>
      </c>
      <c r="N169" s="5"/>
      <c r="O169" s="5"/>
    </row>
    <row r="170" spans="1:29" ht="13.8" thickBot="1" x14ac:dyDescent="0.3">
      <c r="B170" s="101"/>
      <c r="C170" s="102" t="s">
        <v>486</v>
      </c>
      <c r="D170" s="101"/>
      <c r="E170" s="101"/>
      <c r="F170" s="115">
        <v>10</v>
      </c>
      <c r="G170" s="104" t="s">
        <v>22</v>
      </c>
      <c r="H170" s="114">
        <f t="shared" ref="H170:H189" si="20">$H$169</f>
        <v>14.5</v>
      </c>
      <c r="I170" s="104" t="s">
        <v>11</v>
      </c>
      <c r="J170" s="116"/>
      <c r="K170" s="104" t="s">
        <v>22</v>
      </c>
      <c r="L170" s="114">
        <f>$L$169</f>
        <v>14.5</v>
      </c>
      <c r="M170" s="104" t="s">
        <v>11</v>
      </c>
      <c r="N170" s="5"/>
      <c r="O170" s="5"/>
    </row>
    <row r="171" spans="1:29" s="8" customFormat="1" ht="13.8" thickBot="1" x14ac:dyDescent="0.3">
      <c r="A171" s="627"/>
      <c r="B171" s="101"/>
      <c r="C171" s="102" t="s">
        <v>487</v>
      </c>
      <c r="D171" s="101"/>
      <c r="E171" s="101"/>
      <c r="F171" s="115">
        <v>8</v>
      </c>
      <c r="G171" s="104" t="s">
        <v>22</v>
      </c>
      <c r="H171" s="114">
        <f t="shared" si="20"/>
        <v>14.5</v>
      </c>
      <c r="I171" s="104" t="s">
        <v>11</v>
      </c>
      <c r="J171" s="116"/>
      <c r="K171" s="104" t="s">
        <v>22</v>
      </c>
      <c r="L171" s="114">
        <f t="shared" ref="L171:L189" si="21">$L$169</f>
        <v>14.5</v>
      </c>
      <c r="M171" s="104" t="s">
        <v>11</v>
      </c>
      <c r="N171" s="5"/>
      <c r="O171" s="5"/>
      <c r="P171"/>
      <c r="Q171"/>
      <c r="R171"/>
      <c r="S171"/>
      <c r="T171"/>
      <c r="U171"/>
      <c r="AB171"/>
      <c r="AC171"/>
    </row>
    <row r="172" spans="1:29" ht="13.8" thickBot="1" x14ac:dyDescent="0.3">
      <c r="B172" s="101"/>
      <c r="C172" s="102" t="s">
        <v>421</v>
      </c>
      <c r="D172" s="101"/>
      <c r="E172" s="101"/>
      <c r="F172" s="115">
        <v>30</v>
      </c>
      <c r="G172" s="104" t="s">
        <v>22</v>
      </c>
      <c r="H172" s="114">
        <f t="shared" si="20"/>
        <v>14.5</v>
      </c>
      <c r="I172" s="104" t="s">
        <v>11</v>
      </c>
      <c r="J172" s="116">
        <v>32</v>
      </c>
      <c r="K172" s="104" t="s">
        <v>22</v>
      </c>
      <c r="L172" s="114">
        <f t="shared" si="21"/>
        <v>14.5</v>
      </c>
      <c r="M172" s="104" t="s">
        <v>11</v>
      </c>
      <c r="N172" s="5"/>
      <c r="O172" s="5"/>
      <c r="AB172" s="8"/>
      <c r="AC172" s="8"/>
    </row>
    <row r="173" spans="1:29" ht="13.8" thickBot="1" x14ac:dyDescent="0.3">
      <c r="B173" s="101"/>
      <c r="C173" s="102" t="s">
        <v>423</v>
      </c>
      <c r="D173" s="101"/>
      <c r="E173" s="101"/>
      <c r="F173" s="115">
        <v>8</v>
      </c>
      <c r="G173" s="104" t="s">
        <v>22</v>
      </c>
      <c r="H173" s="114">
        <f t="shared" si="20"/>
        <v>14.5</v>
      </c>
      <c r="I173" s="104" t="s">
        <v>11</v>
      </c>
      <c r="J173" s="116"/>
      <c r="K173" s="104" t="s">
        <v>22</v>
      </c>
      <c r="L173" s="114">
        <f t="shared" si="21"/>
        <v>14.5</v>
      </c>
      <c r="M173" s="104" t="s">
        <v>11</v>
      </c>
      <c r="N173" s="5"/>
      <c r="O173" s="5"/>
    </row>
    <row r="174" spans="1:29" ht="13.8" thickBot="1" x14ac:dyDescent="0.3">
      <c r="B174" s="101"/>
      <c r="C174" s="102" t="s">
        <v>424</v>
      </c>
      <c r="D174" s="101"/>
      <c r="E174" s="101"/>
      <c r="F174" s="115">
        <v>16</v>
      </c>
      <c r="G174" s="104" t="s">
        <v>22</v>
      </c>
      <c r="H174" s="114">
        <f t="shared" si="20"/>
        <v>14.5</v>
      </c>
      <c r="I174" s="104" t="s">
        <v>11</v>
      </c>
      <c r="J174" s="116"/>
      <c r="K174" s="104" t="s">
        <v>22</v>
      </c>
      <c r="L174" s="114">
        <f t="shared" si="21"/>
        <v>14.5</v>
      </c>
      <c r="M174" s="104" t="s">
        <v>11</v>
      </c>
      <c r="N174" s="5"/>
      <c r="O174" s="5"/>
    </row>
    <row r="175" spans="1:29" ht="13.8" thickBot="1" x14ac:dyDescent="0.3">
      <c r="B175" s="101"/>
      <c r="C175" s="102" t="s">
        <v>425</v>
      </c>
      <c r="D175" s="101"/>
      <c r="E175" s="101"/>
      <c r="F175" s="115">
        <v>16</v>
      </c>
      <c r="G175" s="104" t="s">
        <v>22</v>
      </c>
      <c r="H175" s="114">
        <f t="shared" si="20"/>
        <v>14.5</v>
      </c>
      <c r="I175" s="104" t="s">
        <v>11</v>
      </c>
      <c r="J175" s="116"/>
      <c r="K175" s="104" t="s">
        <v>22</v>
      </c>
      <c r="L175" s="114">
        <f t="shared" si="21"/>
        <v>14.5</v>
      </c>
      <c r="M175" s="104" t="s">
        <v>11</v>
      </c>
      <c r="N175" s="5"/>
      <c r="O175" s="5"/>
    </row>
    <row r="176" spans="1:29" ht="13.8" thickBot="1" x14ac:dyDescent="0.3">
      <c r="B176" s="101"/>
      <c r="C176" s="102" t="s">
        <v>427</v>
      </c>
      <c r="D176" s="101"/>
      <c r="E176" s="101"/>
      <c r="F176" s="115">
        <v>10</v>
      </c>
      <c r="G176" s="104" t="s">
        <v>22</v>
      </c>
      <c r="H176" s="114">
        <f t="shared" si="20"/>
        <v>14.5</v>
      </c>
      <c r="I176" s="104" t="s">
        <v>11</v>
      </c>
      <c r="J176" s="116">
        <v>80</v>
      </c>
      <c r="K176" s="104" t="s">
        <v>22</v>
      </c>
      <c r="L176" s="114">
        <f t="shared" si="21"/>
        <v>14.5</v>
      </c>
      <c r="M176" s="104" t="s">
        <v>11</v>
      </c>
      <c r="N176" s="5"/>
      <c r="O176" s="5"/>
    </row>
    <row r="177" spans="1:29" ht="13.8" thickBot="1" x14ac:dyDescent="0.3">
      <c r="B177" s="101"/>
      <c r="C177" s="102" t="s">
        <v>426</v>
      </c>
      <c r="D177" s="101"/>
      <c r="E177" s="101"/>
      <c r="F177" s="115"/>
      <c r="G177" s="104" t="s">
        <v>22</v>
      </c>
      <c r="H177" s="114">
        <f t="shared" si="20"/>
        <v>14.5</v>
      </c>
      <c r="I177" s="104" t="s">
        <v>11</v>
      </c>
      <c r="J177" s="116">
        <v>80</v>
      </c>
      <c r="K177" s="104" t="s">
        <v>22</v>
      </c>
      <c r="L177" s="114">
        <f t="shared" si="21"/>
        <v>14.5</v>
      </c>
      <c r="M177" s="104" t="s">
        <v>11</v>
      </c>
      <c r="N177" s="5"/>
      <c r="O177" s="5"/>
    </row>
    <row r="178" spans="1:29" ht="13.8" thickBot="1" x14ac:dyDescent="0.3">
      <c r="B178" s="101"/>
      <c r="C178" s="102" t="s">
        <v>317</v>
      </c>
      <c r="D178" s="101"/>
      <c r="E178" s="101"/>
      <c r="F178" s="115">
        <v>10</v>
      </c>
      <c r="G178" s="104" t="s">
        <v>22</v>
      </c>
      <c r="H178" s="114">
        <f t="shared" si="20"/>
        <v>14.5</v>
      </c>
      <c r="I178" s="104" t="s">
        <v>11</v>
      </c>
      <c r="J178" s="116"/>
      <c r="K178" s="104" t="s">
        <v>22</v>
      </c>
      <c r="L178" s="114">
        <f t="shared" si="21"/>
        <v>14.5</v>
      </c>
      <c r="M178" s="104" t="s">
        <v>11</v>
      </c>
      <c r="N178" s="5"/>
    </row>
    <row r="179" spans="1:29" ht="13.8" thickBot="1" x14ac:dyDescent="0.3">
      <c r="B179" s="101"/>
      <c r="C179" s="102" t="s">
        <v>132</v>
      </c>
      <c r="D179" s="101"/>
      <c r="E179" s="101"/>
      <c r="F179" s="115">
        <v>10</v>
      </c>
      <c r="G179" s="104" t="s">
        <v>22</v>
      </c>
      <c r="H179" s="114">
        <f t="shared" si="20"/>
        <v>14.5</v>
      </c>
      <c r="I179" s="104" t="s">
        <v>11</v>
      </c>
      <c r="J179" s="116">
        <v>30</v>
      </c>
      <c r="K179" s="104" t="s">
        <v>22</v>
      </c>
      <c r="L179" s="114">
        <f t="shared" si="21"/>
        <v>14.5</v>
      </c>
      <c r="M179" s="104" t="s">
        <v>11</v>
      </c>
      <c r="N179" s="5"/>
    </row>
    <row r="180" spans="1:29" ht="13.8" thickBot="1" x14ac:dyDescent="0.3">
      <c r="B180" s="101"/>
      <c r="C180" s="102" t="s">
        <v>132</v>
      </c>
      <c r="D180" s="101"/>
      <c r="E180" s="101"/>
      <c r="F180" s="115"/>
      <c r="G180" s="104" t="s">
        <v>21</v>
      </c>
      <c r="H180" s="661">
        <v>1.5</v>
      </c>
      <c r="I180" s="104" t="s">
        <v>6</v>
      </c>
      <c r="J180" s="116">
        <v>30000</v>
      </c>
      <c r="K180" s="104" t="s">
        <v>21</v>
      </c>
      <c r="L180" s="661">
        <v>1.5</v>
      </c>
      <c r="M180" s="104" t="s">
        <v>6</v>
      </c>
      <c r="N180" s="5"/>
    </row>
    <row r="181" spans="1:29" ht="13.8" thickBot="1" x14ac:dyDescent="0.3">
      <c r="B181" s="101"/>
      <c r="C181" s="102" t="s">
        <v>454</v>
      </c>
      <c r="D181" s="101"/>
      <c r="E181" s="101"/>
      <c r="F181" s="115">
        <v>20</v>
      </c>
      <c r="G181" s="104" t="s">
        <v>22</v>
      </c>
      <c r="H181" s="114">
        <f t="shared" si="20"/>
        <v>14.5</v>
      </c>
      <c r="I181" s="104" t="s">
        <v>11</v>
      </c>
      <c r="J181" s="116">
        <v>30</v>
      </c>
      <c r="K181" s="104" t="s">
        <v>22</v>
      </c>
      <c r="L181" s="114">
        <f t="shared" si="21"/>
        <v>14.5</v>
      </c>
      <c r="M181" s="104" t="s">
        <v>11</v>
      </c>
      <c r="N181" s="5"/>
    </row>
    <row r="182" spans="1:29" ht="13.8" thickBot="1" x14ac:dyDescent="0.3">
      <c r="B182" s="101"/>
      <c r="C182" s="102" t="s">
        <v>488</v>
      </c>
      <c r="D182" s="101"/>
      <c r="E182" s="101"/>
      <c r="F182" s="115">
        <v>8</v>
      </c>
      <c r="G182" s="104" t="s">
        <v>22</v>
      </c>
      <c r="H182" s="114">
        <f t="shared" si="20"/>
        <v>14.5</v>
      </c>
      <c r="I182" s="104" t="s">
        <v>11</v>
      </c>
      <c r="J182" s="116"/>
      <c r="K182" s="104" t="s">
        <v>22</v>
      </c>
      <c r="L182" s="114">
        <f t="shared" si="21"/>
        <v>14.5</v>
      </c>
      <c r="M182" s="104" t="s">
        <v>11</v>
      </c>
      <c r="N182" s="5"/>
    </row>
    <row r="183" spans="1:29" ht="13.8" thickBot="1" x14ac:dyDescent="0.3">
      <c r="B183" s="101"/>
      <c r="C183" s="102" t="s">
        <v>489</v>
      </c>
      <c r="D183" s="101"/>
      <c r="E183" s="101"/>
      <c r="F183" s="115">
        <v>12</v>
      </c>
      <c r="G183" s="104" t="s">
        <v>22</v>
      </c>
      <c r="H183" s="114">
        <f t="shared" si="20"/>
        <v>14.5</v>
      </c>
      <c r="I183" s="104" t="s">
        <v>11</v>
      </c>
      <c r="J183" s="116"/>
      <c r="K183" s="104" t="s">
        <v>22</v>
      </c>
      <c r="L183" s="114">
        <f t="shared" si="21"/>
        <v>14.5</v>
      </c>
      <c r="M183" s="104" t="s">
        <v>11</v>
      </c>
      <c r="N183" s="5"/>
    </row>
    <row r="184" spans="1:29" ht="13.8" thickBot="1" x14ac:dyDescent="0.3">
      <c r="B184" s="101"/>
      <c r="C184" s="102" t="s">
        <v>429</v>
      </c>
      <c r="D184" s="101"/>
      <c r="E184" s="101"/>
      <c r="F184" s="116">
        <v>42</v>
      </c>
      <c r="G184" s="104" t="s">
        <v>22</v>
      </c>
      <c r="H184" s="114">
        <f t="shared" si="20"/>
        <v>14.5</v>
      </c>
      <c r="I184" s="104" t="s">
        <v>11</v>
      </c>
      <c r="J184" s="116"/>
      <c r="K184" s="104" t="s">
        <v>22</v>
      </c>
      <c r="L184" s="114">
        <f t="shared" si="21"/>
        <v>14.5</v>
      </c>
      <c r="M184" s="104" t="s">
        <v>11</v>
      </c>
      <c r="N184" s="5"/>
    </row>
    <row r="185" spans="1:29" ht="13.8" thickBot="1" x14ac:dyDescent="0.3">
      <c r="B185" s="101"/>
      <c r="C185" s="102" t="s">
        <v>490</v>
      </c>
      <c r="D185" s="101"/>
      <c r="E185" s="101"/>
      <c r="F185" s="116">
        <v>50</v>
      </c>
      <c r="G185" s="104" t="s">
        <v>22</v>
      </c>
      <c r="H185" s="114">
        <f t="shared" si="20"/>
        <v>14.5</v>
      </c>
      <c r="I185" s="104" t="s">
        <v>11</v>
      </c>
      <c r="J185" s="116">
        <v>100</v>
      </c>
      <c r="K185" s="104" t="s">
        <v>22</v>
      </c>
      <c r="L185" s="114">
        <f t="shared" si="21"/>
        <v>14.5</v>
      </c>
      <c r="M185" s="104" t="s">
        <v>11</v>
      </c>
      <c r="N185" s="5"/>
    </row>
    <row r="186" spans="1:29" ht="13.8" thickBot="1" x14ac:dyDescent="0.3">
      <c r="B186" s="101"/>
      <c r="C186" s="102" t="s">
        <v>431</v>
      </c>
      <c r="D186" s="101"/>
      <c r="E186" s="101"/>
      <c r="F186" s="116"/>
      <c r="G186" s="104" t="s">
        <v>22</v>
      </c>
      <c r="H186" s="114">
        <f t="shared" si="20"/>
        <v>14.5</v>
      </c>
      <c r="I186" s="104" t="s">
        <v>11</v>
      </c>
      <c r="J186" s="116"/>
      <c r="K186" s="104" t="s">
        <v>22</v>
      </c>
      <c r="L186" s="114">
        <f t="shared" si="21"/>
        <v>14.5</v>
      </c>
      <c r="M186" s="104" t="s">
        <v>11</v>
      </c>
    </row>
    <row r="187" spans="1:29" s="8" customFormat="1" ht="13.8" thickBot="1" x14ac:dyDescent="0.3">
      <c r="A187" s="627"/>
      <c r="B187" s="101"/>
      <c r="C187" s="102" t="s">
        <v>431</v>
      </c>
      <c r="D187" s="101"/>
      <c r="E187" s="101"/>
      <c r="F187" s="116"/>
      <c r="G187" s="104" t="s">
        <v>22</v>
      </c>
      <c r="H187" s="114">
        <f t="shared" si="20"/>
        <v>14.5</v>
      </c>
      <c r="I187" s="104" t="s">
        <v>11</v>
      </c>
      <c r="J187" s="97"/>
      <c r="K187" s="104" t="s">
        <v>22</v>
      </c>
      <c r="L187" s="114">
        <f t="shared" si="21"/>
        <v>14.5</v>
      </c>
      <c r="M187" s="104" t="s">
        <v>11</v>
      </c>
      <c r="N187"/>
      <c r="O187"/>
      <c r="P187"/>
      <c r="Q187"/>
      <c r="R187"/>
      <c r="S187"/>
      <c r="T187"/>
      <c r="U187"/>
      <c r="AB187"/>
      <c r="AC187"/>
    </row>
    <row r="188" spans="1:29" ht="13.8" thickBot="1" x14ac:dyDescent="0.3">
      <c r="B188" s="101"/>
      <c r="C188" s="102" t="s">
        <v>431</v>
      </c>
      <c r="D188" s="101"/>
      <c r="E188" s="101"/>
      <c r="F188" s="116"/>
      <c r="G188" s="104" t="s">
        <v>22</v>
      </c>
      <c r="H188" s="114">
        <f t="shared" si="20"/>
        <v>14.5</v>
      </c>
      <c r="I188" s="104" t="s">
        <v>11</v>
      </c>
      <c r="J188" s="97"/>
      <c r="K188" s="104" t="s">
        <v>22</v>
      </c>
      <c r="L188" s="114">
        <f t="shared" si="21"/>
        <v>14.5</v>
      </c>
      <c r="M188" s="104" t="s">
        <v>11</v>
      </c>
      <c r="AB188" s="8"/>
      <c r="AC188" s="8"/>
    </row>
    <row r="189" spans="1:29" ht="13.8" thickBot="1" x14ac:dyDescent="0.3">
      <c r="B189" s="101"/>
      <c r="C189" s="102" t="s">
        <v>431</v>
      </c>
      <c r="D189" s="103"/>
      <c r="E189" s="103"/>
      <c r="F189" s="97"/>
      <c r="G189" s="104" t="s">
        <v>22</v>
      </c>
      <c r="H189" s="114">
        <f t="shared" si="20"/>
        <v>14.5</v>
      </c>
      <c r="I189" s="104" t="s">
        <v>11</v>
      </c>
      <c r="J189" s="97"/>
      <c r="K189" s="104" t="s">
        <v>22</v>
      </c>
      <c r="L189" s="114">
        <f t="shared" si="21"/>
        <v>14.5</v>
      </c>
      <c r="M189" s="104" t="s">
        <v>11</v>
      </c>
    </row>
    <row r="190" spans="1:29" ht="16.05" customHeight="1" x14ac:dyDescent="0.25">
      <c r="B190" s="264"/>
      <c r="C190" s="265" t="s">
        <v>196</v>
      </c>
      <c r="D190" s="266"/>
      <c r="E190" s="266"/>
      <c r="F190" s="267">
        <f>SUM(F169:F179)+SUM(F181:F189)</f>
        <v>260</v>
      </c>
      <c r="G190" s="264" t="s">
        <v>22</v>
      </c>
      <c r="H190" s="268">
        <f>F190*H169+F180*H180</f>
        <v>3770</v>
      </c>
      <c r="I190" s="264" t="s">
        <v>14</v>
      </c>
      <c r="J190" s="269">
        <f>SUM(J169:J179)+SUM(J181:J189)</f>
        <v>352</v>
      </c>
      <c r="K190" s="264" t="s">
        <v>22</v>
      </c>
      <c r="L190" s="268">
        <f>J190*L169+J180*L180</f>
        <v>50104</v>
      </c>
      <c r="M190" s="264" t="s">
        <v>14</v>
      </c>
      <c r="N190" s="8"/>
      <c r="O190" s="8"/>
      <c r="P190" s="8"/>
      <c r="Q190" s="8"/>
      <c r="R190" s="8"/>
      <c r="S190" s="8"/>
      <c r="T190" s="8"/>
      <c r="U190" s="8"/>
    </row>
    <row r="195" spans="1:29" s="8" customFormat="1" x14ac:dyDescent="0.25">
      <c r="A195" s="627"/>
      <c r="B195"/>
      <c r="C195"/>
      <c r="D195"/>
      <c r="E195"/>
      <c r="F195"/>
      <c r="G195"/>
      <c r="H195"/>
      <c r="I195"/>
      <c r="J195"/>
      <c r="K195"/>
      <c r="L195"/>
      <c r="M195"/>
      <c r="N195"/>
      <c r="O195"/>
      <c r="P195"/>
      <c r="Q195"/>
      <c r="R195"/>
      <c r="S195"/>
      <c r="T195"/>
      <c r="U195"/>
      <c r="AB195"/>
      <c r="AC195"/>
    </row>
    <row r="196" spans="1:29" x14ac:dyDescent="0.25">
      <c r="AB196" s="8"/>
      <c r="AC196" s="8"/>
    </row>
    <row r="197" spans="1:29" ht="37.049999999999997" customHeight="1" x14ac:dyDescent="0.25"/>
    <row r="198" spans="1:29" x14ac:dyDescent="0.25">
      <c r="N198" s="8"/>
      <c r="O198" s="8"/>
      <c r="P198" s="8"/>
      <c r="Q198" s="8"/>
      <c r="R198" s="8"/>
      <c r="S198" s="8"/>
      <c r="T198" s="8"/>
      <c r="U198" s="8"/>
    </row>
    <row r="203" spans="1:29" s="8" customFormat="1" x14ac:dyDescent="0.25">
      <c r="A203" s="627"/>
      <c r="B203"/>
      <c r="C203"/>
      <c r="D203"/>
      <c r="E203"/>
      <c r="F203"/>
      <c r="G203"/>
      <c r="H203"/>
      <c r="I203"/>
      <c r="J203"/>
      <c r="K203"/>
      <c r="L203"/>
      <c r="M203"/>
      <c r="N203"/>
      <c r="O203"/>
      <c r="P203"/>
      <c r="Q203"/>
      <c r="R203"/>
      <c r="S203"/>
      <c r="T203"/>
      <c r="U203"/>
      <c r="AB203"/>
      <c r="AC203"/>
    </row>
    <row r="204" spans="1:29" x14ac:dyDescent="0.25">
      <c r="AB204" s="8"/>
      <c r="AC204" s="8"/>
    </row>
    <row r="205" spans="1:29" ht="33" customHeight="1" x14ac:dyDescent="0.25"/>
    <row r="206" spans="1:29" x14ac:dyDescent="0.25">
      <c r="N206" s="8"/>
      <c r="O206" s="8"/>
      <c r="P206" s="8"/>
      <c r="Q206" s="8"/>
      <c r="R206" s="8"/>
      <c r="S206" s="8"/>
      <c r="T206" s="8"/>
      <c r="U206" s="8"/>
    </row>
    <row r="213" spans="1:29" s="8" customFormat="1" x14ac:dyDescent="0.25">
      <c r="A213" s="627"/>
      <c r="B213"/>
      <c r="C213"/>
      <c r="D213"/>
      <c r="E213"/>
      <c r="F213"/>
      <c r="G213"/>
      <c r="H213"/>
      <c r="I213"/>
      <c r="J213"/>
      <c r="K213"/>
      <c r="L213"/>
      <c r="M213"/>
      <c r="N213"/>
      <c r="O213"/>
      <c r="P213"/>
      <c r="Q213"/>
      <c r="R213"/>
      <c r="S213"/>
      <c r="T213"/>
      <c r="U213"/>
      <c r="AB213"/>
      <c r="AC213"/>
    </row>
    <row r="214" spans="1:29" x14ac:dyDescent="0.25">
      <c r="AB214" s="8"/>
      <c r="AC214" s="8"/>
    </row>
    <row r="216" spans="1:29" x14ac:dyDescent="0.25">
      <c r="N216" s="8"/>
      <c r="O216" s="8"/>
      <c r="P216" s="8"/>
      <c r="Q216" s="8"/>
      <c r="R216" s="8"/>
      <c r="S216" s="8"/>
      <c r="T216" s="8"/>
      <c r="U216" s="8"/>
    </row>
    <row r="218" spans="1:29" ht="46.95" customHeight="1" x14ac:dyDescent="0.25"/>
    <row r="240" spans="1:29" s="8" customFormat="1" x14ac:dyDescent="0.25">
      <c r="A240" s="627"/>
      <c r="B240"/>
      <c r="C240"/>
      <c r="D240"/>
      <c r="E240"/>
      <c r="F240"/>
      <c r="G240"/>
      <c r="H240"/>
      <c r="I240"/>
      <c r="J240"/>
      <c r="K240"/>
      <c r="L240"/>
      <c r="M240"/>
      <c r="N240"/>
      <c r="O240"/>
      <c r="P240"/>
      <c r="Q240"/>
      <c r="R240"/>
      <c r="S240"/>
      <c r="T240"/>
      <c r="U240"/>
      <c r="AB240"/>
      <c r="AC240"/>
    </row>
    <row r="241" spans="28:29" ht="58.05" customHeight="1" x14ac:dyDescent="0.25">
      <c r="AB241" s="8"/>
      <c r="AC241" s="8"/>
    </row>
  </sheetData>
  <mergeCells count="49">
    <mergeCell ref="F145:G145"/>
    <mergeCell ref="H145:I145"/>
    <mergeCell ref="J145:K145"/>
    <mergeCell ref="B165:M165"/>
    <mergeCell ref="E167:G167"/>
    <mergeCell ref="H167:I167"/>
    <mergeCell ref="J167:K167"/>
    <mergeCell ref="L167:M167"/>
    <mergeCell ref="L70:M70"/>
    <mergeCell ref="J124:K124"/>
    <mergeCell ref="F137:G137"/>
    <mergeCell ref="H137:I137"/>
    <mergeCell ref="J137:K137"/>
    <mergeCell ref="F80:G80"/>
    <mergeCell ref="H80:I80"/>
    <mergeCell ref="J80:K80"/>
    <mergeCell ref="F97:G97"/>
    <mergeCell ref="H97:I97"/>
    <mergeCell ref="J97:K97"/>
    <mergeCell ref="F124:G124"/>
    <mergeCell ref="H124:I124"/>
    <mergeCell ref="F116:G116"/>
    <mergeCell ref="O9:Q9"/>
    <mergeCell ref="T9:U9"/>
    <mergeCell ref="O18:Q18"/>
    <mergeCell ref="B28:E28"/>
    <mergeCell ref="B29:D29"/>
    <mergeCell ref="B53:C53"/>
    <mergeCell ref="C56:D56"/>
    <mergeCell ref="B58:D58"/>
    <mergeCell ref="B64:D64"/>
    <mergeCell ref="B2:C2"/>
    <mergeCell ref="B4:L4"/>
    <mergeCell ref="B11:D11"/>
    <mergeCell ref="B46:D46"/>
    <mergeCell ref="C49:D49"/>
    <mergeCell ref="B27:E27"/>
    <mergeCell ref="B32:C32"/>
    <mergeCell ref="C35:D35"/>
    <mergeCell ref="B39:D39"/>
    <mergeCell ref="C42:D42"/>
    <mergeCell ref="B66:D66"/>
    <mergeCell ref="H116:I116"/>
    <mergeCell ref="J116:K116"/>
    <mergeCell ref="F72:G72"/>
    <mergeCell ref="H72:I72"/>
    <mergeCell ref="J72:K72"/>
    <mergeCell ref="B68:D68"/>
    <mergeCell ref="B70:E70"/>
  </mergeCells>
  <hyperlinks>
    <hyperlink ref="B2" location="Tilakokonaisuus!A1" display="PALAA ETUSIVULLE" xr:uid="{38F5EFD5-A3C9-DE41-9634-6F664F939960}"/>
    <hyperlink ref="B2:C2" location="'Gårdens info'!A1" display="TILL FRAMSIDAN" xr:uid="{C968036C-026C-E946-85A3-E71AD5461909}"/>
    <hyperlink ref="B15" location="'Jordgubbe tunnel'!B80" display="SKÖRDEÅRENS KOSTNADER" xr:uid="{88EDE566-150C-3C42-A0D6-7664F8DF18B1}"/>
    <hyperlink ref="B27:E27" location="'Gårdens info'!B131" display="ALLMÄNNA KOSTNADER, jordubbens andel" xr:uid="{73694EC1-8C2E-864A-BE66-27ABE3016DF6}"/>
    <hyperlink ref="L70" location="'Avomaan mansikka'!B2" display="PALAA SIVUN YLÄLAITAAN" xr:uid="{F8FD500C-B7AC-9D46-96B2-0A3C9545F261}"/>
    <hyperlink ref="L70:M70" location="'Jordgubbe tunnel'!A1" display="TILL SIDANS BÖRJAN" xr:uid="{6BC21877-5B24-1240-8C02-3E5BCB49C88E}"/>
    <hyperlink ref="B32:C32" location="Ägendom!B15" display="BYGGNADER" xr:uid="{3745C2D5-D684-4D2D-9F5B-C0883B929CCB}"/>
    <hyperlink ref="B39:D39" location="Ägendom!B28" display="MASINER OCH UTRUSTNING" xr:uid="{9A81AEF4-4E27-47F0-9F23-5FE9C8AED2DD}"/>
    <hyperlink ref="B46:D46" location="Ägendom!B51" display="LÅNGVARIGA PRODUKTIONSMEDEL" xr:uid="{77781AB2-48B5-497E-B69D-E209B86800E6}"/>
    <hyperlink ref="B53:C53" location="Ägendom!B70" display="TÄCKDIKEN" xr:uid="{A2F32DD7-3CC0-4A1D-B9CA-ACC4D83EFCF1}"/>
  </hyperlinks>
  <pageMargins left="0.7" right="0.7" top="0.75" bottom="0.75" header="0.3" footer="0.3"/>
  <pageSetup paperSize="9" orientation="portrait"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29D0E-EE6D-5D46-BD01-606309E67FB7}">
  <sheetPr>
    <tabColor theme="9" tint="0.59999389629810485"/>
  </sheetPr>
  <dimension ref="A1:Z330"/>
  <sheetViews>
    <sheetView topLeftCell="J25" zoomScaleNormal="100" workbookViewId="0">
      <selection activeCell="Y27" sqref="Y27:Y43"/>
    </sheetView>
  </sheetViews>
  <sheetFormatPr defaultColWidth="11.44140625" defaultRowHeight="13.2" x14ac:dyDescent="0.25"/>
  <cols>
    <col min="1" max="1" width="5.33203125" style="377" customWidth="1"/>
    <col min="3" max="3" width="16.77734375" customWidth="1"/>
    <col min="4" max="4" width="22.6640625" customWidth="1"/>
    <col min="5" max="5" width="12.109375" bestFit="1" customWidth="1"/>
    <col min="6" max="6" width="14" bestFit="1" customWidth="1"/>
    <col min="7" max="7" width="6.33203125" customWidth="1"/>
    <col min="9" max="9" width="6" customWidth="1"/>
    <col min="10" max="10" width="15.109375" customWidth="1"/>
    <col min="11" max="11" width="9.6640625" customWidth="1"/>
    <col min="12" max="12" width="20" customWidth="1"/>
    <col min="13" max="13" width="12.109375" customWidth="1"/>
    <col min="27" max="27" width="19" customWidth="1"/>
  </cols>
  <sheetData>
    <row r="1" spans="1:21" s="377" customFormat="1" ht="22.8" x14ac:dyDescent="0.4">
      <c r="B1" s="384" t="s">
        <v>378</v>
      </c>
    </row>
    <row r="2" spans="1:21" ht="27" customHeight="1" x14ac:dyDescent="0.3">
      <c r="B2" s="976" t="s">
        <v>337</v>
      </c>
      <c r="C2" s="976"/>
    </row>
    <row r="3" spans="1:21" ht="27" customHeight="1" x14ac:dyDescent="0.3">
      <c r="B3" s="233"/>
      <c r="C3" s="233"/>
    </row>
    <row r="4" spans="1:21" ht="139.94999999999999" customHeight="1" x14ac:dyDescent="0.3">
      <c r="B4" s="942" t="s">
        <v>371</v>
      </c>
      <c r="C4" s="942"/>
      <c r="D4" s="942"/>
      <c r="E4" s="942"/>
      <c r="F4" s="942"/>
      <c r="G4" s="942"/>
      <c r="H4" s="942"/>
      <c r="I4" s="942"/>
      <c r="J4" s="942"/>
      <c r="K4" s="942"/>
      <c r="L4" s="942"/>
    </row>
    <row r="5" spans="1:21" ht="27" customHeight="1" thickBot="1" x14ac:dyDescent="0.35">
      <c r="B5" s="233"/>
      <c r="C5" s="233"/>
    </row>
    <row r="6" spans="1:21" ht="27" customHeight="1" x14ac:dyDescent="0.4">
      <c r="B6" s="318" t="s">
        <v>379</v>
      </c>
      <c r="C6" s="282"/>
      <c r="D6" s="283"/>
      <c r="E6" s="283"/>
      <c r="F6" s="283"/>
      <c r="G6" s="283"/>
      <c r="H6" s="283"/>
      <c r="I6" s="283"/>
      <c r="J6" s="283"/>
      <c r="K6" s="283"/>
      <c r="L6" s="283"/>
      <c r="M6" s="284"/>
      <c r="N6" s="441"/>
      <c r="O6" s="283"/>
      <c r="P6" s="283"/>
      <c r="Q6" s="283"/>
      <c r="R6" s="283"/>
      <c r="S6" s="283"/>
      <c r="T6" s="283"/>
      <c r="U6" s="284"/>
    </row>
    <row r="7" spans="1:21" ht="27" customHeight="1" x14ac:dyDescent="0.4">
      <c r="B7" s="285"/>
      <c r="C7" s="286"/>
      <c r="D7" s="148"/>
      <c r="E7" s="148"/>
      <c r="F7" s="148"/>
      <c r="G7" s="148"/>
      <c r="H7" s="148"/>
      <c r="I7" s="148"/>
      <c r="J7" s="148"/>
      <c r="K7" s="148"/>
      <c r="L7" s="148"/>
      <c r="M7" s="287"/>
      <c r="N7" s="442"/>
      <c r="O7" s="148"/>
      <c r="P7" s="148"/>
      <c r="Q7" s="148"/>
      <c r="R7" s="148"/>
      <c r="S7" s="148"/>
      <c r="T7" s="148"/>
      <c r="U7" s="287"/>
    </row>
    <row r="8" spans="1:21" ht="21" x14ac:dyDescent="0.4">
      <c r="B8" s="319" t="s">
        <v>373</v>
      </c>
      <c r="C8" s="286"/>
      <c r="D8" s="148"/>
      <c r="E8" s="151"/>
      <c r="F8" s="151"/>
      <c r="G8" s="151"/>
      <c r="H8" s="151"/>
      <c r="I8" s="148"/>
      <c r="J8" s="148"/>
      <c r="K8" s="148"/>
      <c r="L8" s="148"/>
      <c r="M8" s="287"/>
      <c r="N8" s="319" t="s">
        <v>239</v>
      </c>
      <c r="O8" s="148"/>
      <c r="P8" s="148"/>
      <c r="Q8" s="148"/>
      <c r="R8" s="148"/>
      <c r="S8" s="148"/>
      <c r="T8" s="148"/>
      <c r="U8" s="300"/>
    </row>
    <row r="9" spans="1:21" ht="16.2" thickBot="1" x14ac:dyDescent="0.35">
      <c r="B9" s="288"/>
      <c r="C9" s="289" t="s">
        <v>239</v>
      </c>
      <c r="D9" s="151"/>
      <c r="E9" s="151"/>
      <c r="F9" s="290">
        <f>IF('Gårdens info'!D24&gt;0,H9*'Gårdens info'!G24,0)</f>
        <v>23132.5</v>
      </c>
      <c r="G9" s="151" t="s">
        <v>14</v>
      </c>
      <c r="H9" s="619">
        <f>IF('Gårdens info'!G24&gt;0,(('Gårdens info'!G24*S10*T10)+('Gårdens info'!G24*S11*T11)+('Gårdens info'!G24*S12*T12)+('Gårdens info'!G24*S13*T13)+('Gårdens info'!G24*S14*T14)+('Gårdens info'!G24*S15*T15)+('Gårdens info'!G24*S16*T16)+('Gårdens info'!G24*S17*T17))/(('Gårdens info'!G24)),0)</f>
        <v>9.74</v>
      </c>
      <c r="I9" s="151" t="s">
        <v>6</v>
      </c>
      <c r="J9" s="290">
        <f>F9*'Gårdens info'!D24</f>
        <v>92530</v>
      </c>
      <c r="K9" s="151" t="s">
        <v>491</v>
      </c>
      <c r="L9" s="151"/>
      <c r="M9" s="287"/>
      <c r="N9" s="442"/>
      <c r="O9" s="943" t="s">
        <v>366</v>
      </c>
      <c r="P9" s="943"/>
      <c r="Q9" s="943"/>
      <c r="R9" s="443" t="s">
        <v>339</v>
      </c>
      <c r="S9" s="444" t="s">
        <v>48</v>
      </c>
      <c r="T9" s="967" t="s">
        <v>340</v>
      </c>
      <c r="U9" s="968"/>
    </row>
    <row r="10" spans="1:21" ht="15.6" thickBot="1" x14ac:dyDescent="0.3">
      <c r="B10" s="288"/>
      <c r="C10" s="151" t="s">
        <v>224</v>
      </c>
      <c r="D10" s="151"/>
      <c r="E10" s="151"/>
      <c r="F10" s="290">
        <f>IF('Gårdens info'!D24&gt;0,Stöd!J6/'Gårdens info'!D37*Stöd!L6+Stöd!J7/'Gårdens info'!D37*Stöd!L7+Stöd!J8/'Gårdens info'!D37*Stöd!L8+Stöd!J12/'Gårdens info'!D37*Stöd!L12+Stöd!J13/'Gårdens info'!D37*Stöd!L13+Stöd!J15/'Gårdens info'!D37*Stöd!L15+Stöd!J16/'Gårdens info'!D37*Stöd!L16+Stöd!J18/'Gårdens info'!D37*Stöd!L18+Stöd!J19/'Gårdens info'!D37*Stöd!L19+Stöd!J20/'Gårdens info'!D37*Stöd!L20+Stöd!J21/'Gårdens info'!D37*Stöd!L21,0)</f>
        <v>0</v>
      </c>
      <c r="G10" s="151" t="s">
        <v>14</v>
      </c>
      <c r="H10" s="619">
        <f>IF('Gårdens info'!G24&gt;0,F10/'Gårdens info'!G24,0)</f>
        <v>0</v>
      </c>
      <c r="I10" s="151" t="s">
        <v>6</v>
      </c>
      <c r="J10" s="290">
        <f>F10*'Gårdens info'!D24</f>
        <v>0</v>
      </c>
      <c r="K10" s="151" t="s">
        <v>491</v>
      </c>
      <c r="L10" s="151"/>
      <c r="M10" s="287"/>
      <c r="N10" s="442"/>
      <c r="O10" s="151">
        <v>1</v>
      </c>
      <c r="P10" s="151" t="s">
        <v>21</v>
      </c>
      <c r="Q10" s="151" t="s">
        <v>389</v>
      </c>
      <c r="R10" s="151"/>
      <c r="S10" s="452">
        <v>0.2</v>
      </c>
      <c r="T10" s="317">
        <v>10.199999999999999</v>
      </c>
      <c r="U10" s="300" t="s">
        <v>6</v>
      </c>
    </row>
    <row r="11" spans="1:21" s="8" customFormat="1" ht="21.6" customHeight="1" thickBot="1" x14ac:dyDescent="0.45">
      <c r="A11" s="378"/>
      <c r="B11" s="932" t="s">
        <v>240</v>
      </c>
      <c r="C11" s="933"/>
      <c r="D11" s="933"/>
      <c r="E11" s="324"/>
      <c r="F11" s="328">
        <f>F9+F10</f>
        <v>23132.5</v>
      </c>
      <c r="G11" s="329" t="s">
        <v>14</v>
      </c>
      <c r="H11" s="618">
        <f>H9+H10</f>
        <v>9.74</v>
      </c>
      <c r="I11" s="329" t="s">
        <v>6</v>
      </c>
      <c r="J11" s="331">
        <f>J9+J10</f>
        <v>92530</v>
      </c>
      <c r="K11" s="329" t="s">
        <v>46</v>
      </c>
      <c r="L11" s="329"/>
      <c r="M11" s="321"/>
      <c r="N11" s="445"/>
      <c r="O11" s="151">
        <v>3</v>
      </c>
      <c r="P11" s="151" t="s">
        <v>21</v>
      </c>
      <c r="Q11" s="151" t="s">
        <v>390</v>
      </c>
      <c r="R11" s="151"/>
      <c r="S11" s="454">
        <v>0</v>
      </c>
      <c r="T11" s="317"/>
      <c r="U11" s="300" t="s">
        <v>6</v>
      </c>
    </row>
    <row r="12" spans="1:21" ht="19.05" customHeight="1" thickBot="1" x14ac:dyDescent="0.45">
      <c r="B12" s="832"/>
      <c r="C12" s="833"/>
      <c r="D12" s="833"/>
      <c r="E12" s="148"/>
      <c r="F12" s="148"/>
      <c r="G12" s="148"/>
      <c r="H12" s="148"/>
      <c r="I12" s="148"/>
      <c r="J12" s="293"/>
      <c r="K12" s="148"/>
      <c r="L12" s="148"/>
      <c r="M12" s="287"/>
      <c r="N12" s="445"/>
      <c r="O12" s="151">
        <v>5</v>
      </c>
      <c r="P12" s="151" t="s">
        <v>21</v>
      </c>
      <c r="Q12" s="151" t="s">
        <v>390</v>
      </c>
      <c r="R12" s="151"/>
      <c r="S12" s="454">
        <v>0.7</v>
      </c>
      <c r="T12" s="317">
        <v>11</v>
      </c>
      <c r="U12" s="300" t="s">
        <v>6</v>
      </c>
    </row>
    <row r="13" spans="1:21" ht="18" thickBot="1" x14ac:dyDescent="0.35">
      <c r="B13" s="292"/>
      <c r="C13" s="286"/>
      <c r="D13" s="148"/>
      <c r="E13" s="148"/>
      <c r="F13" s="148"/>
      <c r="G13" s="148"/>
      <c r="H13" s="148"/>
      <c r="I13" s="148"/>
      <c r="J13" s="293"/>
      <c r="K13" s="148"/>
      <c r="L13" s="148"/>
      <c r="M13" s="287"/>
      <c r="N13" s="442"/>
      <c r="O13" s="151">
        <v>0.5</v>
      </c>
      <c r="P13" s="151" t="s">
        <v>21</v>
      </c>
      <c r="Q13" s="151" t="s">
        <v>391</v>
      </c>
      <c r="R13" s="151"/>
      <c r="S13" s="454">
        <v>0.1</v>
      </c>
      <c r="T13" s="317"/>
      <c r="U13" s="300" t="s">
        <v>6</v>
      </c>
    </row>
    <row r="14" spans="1:21" s="77" customFormat="1" ht="21.6" thickBot="1" x14ac:dyDescent="0.45">
      <c r="A14" s="379"/>
      <c r="B14" s="319" t="s">
        <v>241</v>
      </c>
      <c r="C14" s="286"/>
      <c r="D14" s="148"/>
      <c r="E14" s="153"/>
      <c r="F14" s="153"/>
      <c r="G14" s="153"/>
      <c r="H14" s="153"/>
      <c r="I14" s="153"/>
      <c r="J14" s="294"/>
      <c r="K14" s="153"/>
      <c r="L14" s="153"/>
      <c r="M14" s="295"/>
      <c r="N14" s="442"/>
      <c r="O14" s="151">
        <v>0.25</v>
      </c>
      <c r="P14" s="151" t="s">
        <v>21</v>
      </c>
      <c r="Q14" s="151" t="s">
        <v>391</v>
      </c>
      <c r="R14" s="151"/>
      <c r="S14" s="454">
        <v>0</v>
      </c>
      <c r="T14" s="317"/>
      <c r="U14" s="300" t="s">
        <v>6</v>
      </c>
    </row>
    <row r="15" spans="1:21" s="91" customFormat="1" ht="15.6" thickBot="1" x14ac:dyDescent="0.3">
      <c r="A15" s="380"/>
      <c r="B15" s="296"/>
      <c r="C15" s="289" t="s">
        <v>385</v>
      </c>
      <c r="D15" s="297"/>
      <c r="E15" s="297"/>
      <c r="F15" s="298">
        <f>IF('Gårdens info'!$D$24&gt;0,J99/'Gårdens info'!$I$24,0)</f>
        <v>497.5</v>
      </c>
      <c r="G15" s="151" t="s">
        <v>14</v>
      </c>
      <c r="H15" s="614">
        <f>IF('Gårdens info'!$G$24&gt;0,F15/'Gårdens info'!$G$24,0)</f>
        <v>0.20947368421052631</v>
      </c>
      <c r="I15" s="151" t="s">
        <v>6</v>
      </c>
      <c r="J15" s="298">
        <f>F15*'Gårdens info'!$D$24</f>
        <v>1990</v>
      </c>
      <c r="K15" s="151" t="s">
        <v>491</v>
      </c>
      <c r="L15" s="297"/>
      <c r="M15" s="300"/>
      <c r="N15" s="442"/>
      <c r="O15" s="812">
        <f>D211</f>
        <v>0</v>
      </c>
      <c r="P15" s="151" t="s">
        <v>21</v>
      </c>
      <c r="Q15" s="362" t="str">
        <f>C211</f>
        <v>Förpackning X</v>
      </c>
      <c r="R15" s="151"/>
      <c r="S15" s="454">
        <v>0</v>
      </c>
      <c r="T15" s="317"/>
      <c r="U15" s="300" t="s">
        <v>6</v>
      </c>
    </row>
    <row r="16" spans="1:21" s="91" customFormat="1" ht="15.6" thickBot="1" x14ac:dyDescent="0.3">
      <c r="A16" s="380"/>
      <c r="B16" s="296"/>
      <c r="C16" s="289" t="s">
        <v>244</v>
      </c>
      <c r="D16" s="297"/>
      <c r="E16" s="297"/>
      <c r="F16" s="298">
        <f>IF('Gårdens info'!$D$24&gt;0,J108/'Gårdens info'!$I$24,0)</f>
        <v>23.75</v>
      </c>
      <c r="G16" s="151" t="s">
        <v>14</v>
      </c>
      <c r="H16" s="614">
        <f>IF('Gårdens info'!$G$24&gt;0,F16/'Gårdens info'!$G$24,0)</f>
        <v>0.01</v>
      </c>
      <c r="I16" s="151" t="s">
        <v>6</v>
      </c>
      <c r="J16" s="298">
        <f>F16*'Gårdens info'!$D$24</f>
        <v>95</v>
      </c>
      <c r="K16" s="151" t="s">
        <v>491</v>
      </c>
      <c r="L16" s="297"/>
      <c r="M16" s="300"/>
      <c r="N16" s="442"/>
      <c r="O16" s="812">
        <f t="shared" ref="O16:O17" si="0">D212</f>
        <v>0</v>
      </c>
      <c r="P16" s="151" t="s">
        <v>21</v>
      </c>
      <c r="Q16" s="362" t="str">
        <f t="shared" ref="Q16:Q17" si="1">C212</f>
        <v>Förpackning X</v>
      </c>
      <c r="R16" s="151"/>
      <c r="S16" s="453">
        <v>0</v>
      </c>
      <c r="T16" s="317"/>
      <c r="U16" s="300" t="s">
        <v>6</v>
      </c>
    </row>
    <row r="17" spans="1:26" s="91" customFormat="1" ht="15.6" thickBot="1" x14ac:dyDescent="0.3">
      <c r="A17" s="380"/>
      <c r="B17" s="296"/>
      <c r="C17" s="289" t="s">
        <v>386</v>
      </c>
      <c r="D17" s="297"/>
      <c r="E17" s="297"/>
      <c r="F17" s="298">
        <f>IF('Gårdens info'!$D$24&gt;0,J122/'Gårdens info'!$I$24,0)</f>
        <v>6.93</v>
      </c>
      <c r="G17" s="151" t="s">
        <v>14</v>
      </c>
      <c r="H17" s="614">
        <f>IF('Gårdens info'!$G$24&gt;0,F17/'Gårdens info'!$G$24,0)</f>
        <v>2.917894736842105E-3</v>
      </c>
      <c r="I17" s="151" t="s">
        <v>6</v>
      </c>
      <c r="J17" s="298">
        <f>F17*'Gårdens info'!$D$24</f>
        <v>27.72</v>
      </c>
      <c r="K17" s="151" t="s">
        <v>491</v>
      </c>
      <c r="L17" s="297"/>
      <c r="M17" s="300"/>
      <c r="N17" s="442"/>
      <c r="O17" s="812">
        <f t="shared" si="0"/>
        <v>0</v>
      </c>
      <c r="P17" s="151" t="s">
        <v>21</v>
      </c>
      <c r="Q17" s="362" t="str">
        <f t="shared" si="1"/>
        <v>Förpackning X</v>
      </c>
      <c r="R17" s="151"/>
      <c r="S17" s="453">
        <v>0</v>
      </c>
      <c r="T17" s="317"/>
      <c r="U17" s="300" t="s">
        <v>6</v>
      </c>
    </row>
    <row r="18" spans="1:26" s="91" customFormat="1" ht="17.399999999999999" x14ac:dyDescent="0.3">
      <c r="A18" s="380"/>
      <c r="B18" s="296"/>
      <c r="C18" s="289" t="s">
        <v>387</v>
      </c>
      <c r="D18" s="297"/>
      <c r="E18" s="297"/>
      <c r="F18" s="298">
        <f>IF('Gårdens info'!$D$24&gt;0,J130/'Gårdens info'!$I$24,0)</f>
        <v>0</v>
      </c>
      <c r="G18" s="151" t="s">
        <v>14</v>
      </c>
      <c r="H18" s="614">
        <f>IF('Gårdens info'!$G$24&gt;0,F18/'Gårdens info'!$G$24,0)</f>
        <v>0</v>
      </c>
      <c r="I18" s="151" t="s">
        <v>6</v>
      </c>
      <c r="J18" s="298">
        <f>F18*'Gårdens info'!$D$24</f>
        <v>0</v>
      </c>
      <c r="K18" s="151" t="s">
        <v>491</v>
      </c>
      <c r="L18" s="297"/>
      <c r="M18" s="300"/>
      <c r="N18" s="446"/>
      <c r="O18" s="946" t="s">
        <v>16</v>
      </c>
      <c r="P18" s="946"/>
      <c r="Q18" s="946"/>
      <c r="R18" s="153"/>
      <c r="S18" s="450">
        <f>SUM(S10:S17)</f>
        <v>0.99999999999999989</v>
      </c>
      <c r="T18" s="153"/>
      <c r="U18" s="295"/>
    </row>
    <row r="19" spans="1:26" s="91" customFormat="1" ht="15.6" x14ac:dyDescent="0.3">
      <c r="A19" s="380"/>
      <c r="B19" s="296"/>
      <c r="C19" s="289" t="s">
        <v>249</v>
      </c>
      <c r="D19" s="297"/>
      <c r="E19" s="297"/>
      <c r="F19" s="298">
        <f>IF('Gårdens info'!$D$24&gt;0,J142/'Gårdens info'!$I$24,0)</f>
        <v>89.098500000000001</v>
      </c>
      <c r="G19" s="151" t="s">
        <v>14</v>
      </c>
      <c r="H19" s="614">
        <f>IF('Gårdens info'!$G$24&gt;0,F19/'Gårdens info'!$G$24,0)</f>
        <v>3.7515157894736841E-2</v>
      </c>
      <c r="I19" s="151" t="s">
        <v>6</v>
      </c>
      <c r="J19" s="298">
        <f>F19*'Gårdens info'!$D$24</f>
        <v>356.39400000000001</v>
      </c>
      <c r="K19" s="151" t="s">
        <v>491</v>
      </c>
      <c r="L19" s="297"/>
      <c r="M19" s="300"/>
      <c r="N19" s="288"/>
      <c r="O19" s="451" t="str">
        <f>IF(S18=100%," ","HUOM! Osuus myyynneistä pitää summautua 100 prosenttiin")</f>
        <v xml:space="preserve"> </v>
      </c>
      <c r="P19" s="151"/>
      <c r="R19" s="151"/>
      <c r="S19" s="151"/>
      <c r="T19" s="151"/>
      <c r="U19" s="300"/>
    </row>
    <row r="20" spans="1:26" s="91" customFormat="1" ht="15.6" thickBot="1" x14ac:dyDescent="0.3">
      <c r="A20" s="380"/>
      <c r="B20" s="296"/>
      <c r="C20" s="289" t="s">
        <v>388</v>
      </c>
      <c r="D20" s="297"/>
      <c r="E20" s="297"/>
      <c r="F20" s="298">
        <f>IF('Gårdens info'!$D$24&gt;0,L166/'Gårdens info'!$I$24,0)</f>
        <v>145</v>
      </c>
      <c r="G20" s="151" t="s">
        <v>14</v>
      </c>
      <c r="H20" s="614">
        <f>IF('Gårdens info'!$G$24&gt;0,F20/'Gårdens info'!$G$24,0)</f>
        <v>6.1052631578947365E-2</v>
      </c>
      <c r="I20" s="151" t="s">
        <v>6</v>
      </c>
      <c r="J20" s="298">
        <f>F20*'Gårdens info'!$D$24</f>
        <v>580</v>
      </c>
      <c r="K20" s="151" t="s">
        <v>491</v>
      </c>
      <c r="L20" s="297"/>
      <c r="M20" s="300"/>
      <c r="N20" s="447"/>
      <c r="O20" s="448"/>
      <c r="P20" s="448"/>
      <c r="Q20" s="448"/>
      <c r="R20" s="448"/>
      <c r="S20" s="448"/>
      <c r="T20" s="448"/>
      <c r="U20" s="449"/>
    </row>
    <row r="21" spans="1:26" s="91" customFormat="1" ht="15.6" x14ac:dyDescent="0.3">
      <c r="A21" s="380"/>
      <c r="B21" s="296"/>
      <c r="C21" s="301" t="s">
        <v>196</v>
      </c>
      <c r="D21" s="302"/>
      <c r="E21" s="302"/>
      <c r="F21" s="303">
        <f>SUM(F15:F20)</f>
        <v>762.27849999999989</v>
      </c>
      <c r="G21" s="304" t="s">
        <v>14</v>
      </c>
      <c r="H21" s="615">
        <f>SUM(H15:H20)</f>
        <v>0.3209593684210526</v>
      </c>
      <c r="I21" s="304" t="s">
        <v>6</v>
      </c>
      <c r="J21" s="303">
        <f>SUM(J15:J20)</f>
        <v>3049.1139999999996</v>
      </c>
      <c r="K21" s="304" t="s">
        <v>491</v>
      </c>
      <c r="L21" s="302"/>
      <c r="M21" s="300"/>
    </row>
    <row r="22" spans="1:26" ht="17.399999999999999" x14ac:dyDescent="0.3">
      <c r="B22" s="292"/>
      <c r="C22" s="306"/>
      <c r="D22" s="307"/>
      <c r="E22" s="307"/>
      <c r="F22" s="308"/>
      <c r="G22" s="151"/>
      <c r="H22" s="307"/>
      <c r="I22" s="307"/>
      <c r="J22" s="307"/>
      <c r="K22" s="307"/>
      <c r="L22" s="307"/>
      <c r="M22" s="287"/>
      <c r="N22" s="91"/>
      <c r="O22" s="91"/>
      <c r="P22" s="91"/>
      <c r="Q22" s="91"/>
      <c r="R22" s="91"/>
      <c r="S22" s="91"/>
      <c r="T22" s="91"/>
      <c r="U22" s="91"/>
    </row>
    <row r="23" spans="1:26" s="77" customFormat="1" ht="17.399999999999999" x14ac:dyDescent="0.3">
      <c r="A23" s="379"/>
      <c r="B23" s="850" t="s">
        <v>270</v>
      </c>
      <c r="C23" s="306"/>
      <c r="D23" s="310"/>
      <c r="E23" s="310"/>
      <c r="F23" s="311"/>
      <c r="G23" s="153"/>
      <c r="H23" s="310"/>
      <c r="I23" s="310"/>
      <c r="J23" s="310"/>
      <c r="K23" s="310"/>
      <c r="L23" s="310"/>
      <c r="M23" s="295"/>
      <c r="N23"/>
      <c r="O23"/>
      <c r="P23"/>
      <c r="Q23"/>
      <c r="R23"/>
      <c r="S23"/>
      <c r="T23"/>
      <c r="U23"/>
    </row>
    <row r="24" spans="1:26" s="91" customFormat="1" ht="17.399999999999999" x14ac:dyDescent="0.3">
      <c r="A24" s="380"/>
      <c r="B24" s="296"/>
      <c r="C24" s="289" t="s">
        <v>244</v>
      </c>
      <c r="D24" s="297"/>
      <c r="E24" s="297"/>
      <c r="F24" s="298">
        <f>IF('Gårdens info'!D24&gt;0,J177,0)</f>
        <v>170</v>
      </c>
      <c r="G24" s="151" t="s">
        <v>14</v>
      </c>
      <c r="H24" s="614">
        <f>IF('Gårdens info'!$G$24&gt;0,F24/'Gårdens info'!$G$24,0)</f>
        <v>7.1578947368421048E-2</v>
      </c>
      <c r="I24" s="151" t="s">
        <v>6</v>
      </c>
      <c r="J24" s="298">
        <f>F24*'Gårdens info'!$D$24</f>
        <v>680</v>
      </c>
      <c r="K24" s="151" t="s">
        <v>491</v>
      </c>
      <c r="L24" s="297"/>
      <c r="M24" s="300"/>
      <c r="N24" s="77"/>
      <c r="O24" s="77"/>
      <c r="P24" s="77"/>
      <c r="Q24" s="77"/>
      <c r="R24" s="77"/>
      <c r="S24" s="77"/>
      <c r="T24" s="77"/>
      <c r="U24" s="77"/>
    </row>
    <row r="25" spans="1:26" s="91" customFormat="1" ht="15" x14ac:dyDescent="0.25">
      <c r="A25" s="380"/>
      <c r="B25" s="296"/>
      <c r="C25" s="289" t="s">
        <v>245</v>
      </c>
      <c r="D25" s="297"/>
      <c r="E25" s="297"/>
      <c r="F25" s="298">
        <f>IF('Gårdens info'!D24&gt;0,J193,0)</f>
        <v>450.8</v>
      </c>
      <c r="G25" s="151" t="s">
        <v>14</v>
      </c>
      <c r="H25" s="614">
        <f>IF('Gårdens info'!$G$24&gt;0,F25/'Gårdens info'!$G$24,0)</f>
        <v>0.18981052631578949</v>
      </c>
      <c r="I25" s="151" t="s">
        <v>6</v>
      </c>
      <c r="J25" s="298">
        <f>F25*'Gårdens info'!$D$24</f>
        <v>1803.2</v>
      </c>
      <c r="K25" s="151" t="s">
        <v>491</v>
      </c>
      <c r="L25" s="297"/>
      <c r="M25" s="300"/>
    </row>
    <row r="26" spans="1:26" s="91" customFormat="1" ht="15" x14ac:dyDescent="0.25">
      <c r="A26" s="380"/>
      <c r="B26" s="296"/>
      <c r="C26" s="289" t="s">
        <v>392</v>
      </c>
      <c r="D26" s="297"/>
      <c r="E26" s="297"/>
      <c r="F26" s="298">
        <f>IF('Gårdens info'!D25&gt;0,J201,0)</f>
        <v>640</v>
      </c>
      <c r="G26" s="151" t="s">
        <v>14</v>
      </c>
      <c r="H26" s="614">
        <f>IF('Gårdens info'!$G$24&gt;0,F26/'Gårdens info'!$G$24,0)</f>
        <v>0.26947368421052631</v>
      </c>
      <c r="I26" s="151" t="s">
        <v>6</v>
      </c>
      <c r="J26" s="298">
        <f>F26*'Gårdens info'!$D$24</f>
        <v>2560</v>
      </c>
      <c r="K26" s="151" t="s">
        <v>491</v>
      </c>
      <c r="L26" s="297"/>
      <c r="M26" s="300"/>
    </row>
    <row r="27" spans="1:26" s="91" customFormat="1" ht="15" x14ac:dyDescent="0.25">
      <c r="A27" s="380"/>
      <c r="B27" s="296"/>
      <c r="C27" s="289" t="s">
        <v>393</v>
      </c>
      <c r="D27" s="297"/>
      <c r="E27" s="297"/>
      <c r="F27" s="298">
        <f>IF('Gårdens info'!D24&gt;0,J214,0)</f>
        <v>78.691666666666663</v>
      </c>
      <c r="G27" s="151" t="s">
        <v>14</v>
      </c>
      <c r="H27" s="614">
        <f>IF('Gårdens info'!$G$24&gt;0,F27/'Gårdens info'!$G$24,0)</f>
        <v>3.3133333333333334E-2</v>
      </c>
      <c r="I27" s="151" t="s">
        <v>6</v>
      </c>
      <c r="J27" s="298">
        <f>F27*'Gårdens info'!$D$24</f>
        <v>314.76666666666665</v>
      </c>
      <c r="K27" s="151" t="s">
        <v>491</v>
      </c>
      <c r="L27" s="297"/>
      <c r="M27" s="300"/>
      <c r="Y27" s="858"/>
    </row>
    <row r="28" spans="1:26" s="91" customFormat="1" ht="15" x14ac:dyDescent="0.25">
      <c r="A28" s="380"/>
      <c r="B28" s="296"/>
      <c r="C28" s="289" t="s">
        <v>394</v>
      </c>
      <c r="D28" s="297"/>
      <c r="E28" s="297"/>
      <c r="F28" s="298">
        <f>IF('Gårdens info'!D24&gt;0,J222,0)</f>
        <v>2850</v>
      </c>
      <c r="G28" s="151" t="s">
        <v>14</v>
      </c>
      <c r="H28" s="614">
        <f>IF('Gårdens info'!$G$24&gt;0,F28/'Gårdens info'!$G$24,0)</f>
        <v>1.2</v>
      </c>
      <c r="I28" s="151" t="s">
        <v>6</v>
      </c>
      <c r="J28" s="298">
        <f>F28*'Gårdens info'!$D$24</f>
        <v>11400</v>
      </c>
      <c r="K28" s="151" t="s">
        <v>491</v>
      </c>
      <c r="L28" s="297"/>
      <c r="M28" s="300"/>
      <c r="Y28" s="863" t="s">
        <v>244</v>
      </c>
      <c r="Z28" s="549">
        <f>F24</f>
        <v>170</v>
      </c>
    </row>
    <row r="29" spans="1:26" s="91" customFormat="1" ht="15" x14ac:dyDescent="0.25">
      <c r="A29" s="380"/>
      <c r="B29" s="296"/>
      <c r="C29" s="289" t="s">
        <v>387</v>
      </c>
      <c r="D29" s="297"/>
      <c r="E29" s="297"/>
      <c r="F29" s="298">
        <f>IF('Gårdens info'!D24&gt;0,J230,0)</f>
        <v>0</v>
      </c>
      <c r="G29" s="151" t="s">
        <v>14</v>
      </c>
      <c r="H29" s="614">
        <f>IF('Gårdens info'!$G$24&gt;0,F29/'Gårdens info'!$G$24,0)</f>
        <v>0</v>
      </c>
      <c r="I29" s="151" t="s">
        <v>6</v>
      </c>
      <c r="J29" s="298">
        <f>F29*'Gårdens info'!$D$24</f>
        <v>0</v>
      </c>
      <c r="K29" s="151" t="s">
        <v>491</v>
      </c>
      <c r="L29" s="297"/>
      <c r="M29" s="300"/>
      <c r="Y29" s="863" t="s">
        <v>245</v>
      </c>
      <c r="Z29" s="553">
        <f>F25</f>
        <v>450.8</v>
      </c>
    </row>
    <row r="30" spans="1:26" s="91" customFormat="1" ht="15" x14ac:dyDescent="0.25">
      <c r="A30" s="380"/>
      <c r="B30" s="296"/>
      <c r="C30" s="289" t="s">
        <v>249</v>
      </c>
      <c r="D30" s="297"/>
      <c r="E30" s="297"/>
      <c r="F30" s="298">
        <f>IF('Gårdens info'!D24&gt;0,J142,0)</f>
        <v>712.78800000000001</v>
      </c>
      <c r="G30" s="151" t="s">
        <v>14</v>
      </c>
      <c r="H30" s="614">
        <f>IF('Gårdens info'!$G$24&gt;0,F30/'Gårdens info'!$G$24,0)</f>
        <v>0.30012126315789472</v>
      </c>
      <c r="I30" s="151" t="s">
        <v>6</v>
      </c>
      <c r="J30" s="298">
        <f>F30*'Gårdens info'!$D$24</f>
        <v>2851.152</v>
      </c>
      <c r="K30" s="151" t="s">
        <v>491</v>
      </c>
      <c r="L30" s="297"/>
      <c r="M30" s="300"/>
      <c r="Y30" s="863" t="s">
        <v>392</v>
      </c>
      <c r="Z30" s="553">
        <f>F26</f>
        <v>640</v>
      </c>
    </row>
    <row r="31" spans="1:26" s="91" customFormat="1" ht="15" x14ac:dyDescent="0.25">
      <c r="A31" s="380"/>
      <c r="B31" s="296"/>
      <c r="C31" s="289" t="s">
        <v>388</v>
      </c>
      <c r="D31" s="297"/>
      <c r="E31" s="297"/>
      <c r="F31" s="298">
        <f>IF('Gårdens info'!D24&gt;0,L265,0)</f>
        <v>31560</v>
      </c>
      <c r="G31" s="151" t="s">
        <v>14</v>
      </c>
      <c r="H31" s="614">
        <f>IF('Gårdens info'!$G$24&gt;0,F31/'Gårdens info'!$G$24,0)</f>
        <v>13.288421052631579</v>
      </c>
      <c r="I31" s="151" t="s">
        <v>6</v>
      </c>
      <c r="J31" s="298">
        <f>F31*'Gårdens info'!$D$24</f>
        <v>126240</v>
      </c>
      <c r="K31" s="151" t="s">
        <v>491</v>
      </c>
      <c r="L31" s="297"/>
      <c r="M31" s="300"/>
      <c r="Y31" s="863" t="s">
        <v>393</v>
      </c>
      <c r="Z31" s="549">
        <f t="shared" ref="Z31:Z35" si="2">F27</f>
        <v>78.691666666666663</v>
      </c>
    </row>
    <row r="32" spans="1:26" ht="15.6" x14ac:dyDescent="0.3">
      <c r="B32" s="312"/>
      <c r="C32" s="301" t="s">
        <v>196</v>
      </c>
      <c r="D32" s="302"/>
      <c r="E32" s="302"/>
      <c r="F32" s="303">
        <f>SUM(F24:F31)</f>
        <v>36462.279666666669</v>
      </c>
      <c r="G32" s="304" t="s">
        <v>14</v>
      </c>
      <c r="H32" s="615">
        <f>SUM(H24:H31)</f>
        <v>15.352538807017543</v>
      </c>
      <c r="I32" s="304" t="s">
        <v>6</v>
      </c>
      <c r="J32" s="303">
        <f>SUM(J24:J31)</f>
        <v>145849.11866666668</v>
      </c>
      <c r="K32" s="304" t="s">
        <v>491</v>
      </c>
      <c r="L32" s="302"/>
      <c r="M32" s="313"/>
      <c r="N32" s="91"/>
      <c r="O32" s="91"/>
      <c r="P32" s="91"/>
      <c r="Q32" s="91"/>
      <c r="R32" s="91"/>
      <c r="S32" s="91"/>
      <c r="T32" s="91"/>
      <c r="U32" s="91"/>
      <c r="Y32" s="863" t="s">
        <v>394</v>
      </c>
      <c r="Z32" s="549">
        <f t="shared" si="2"/>
        <v>2850</v>
      </c>
    </row>
    <row r="33" spans="1:26" s="77" customFormat="1" ht="17.399999999999999" x14ac:dyDescent="0.3">
      <c r="A33" s="379"/>
      <c r="B33" s="292"/>
      <c r="C33" s="306"/>
      <c r="D33" s="307"/>
      <c r="E33" s="307"/>
      <c r="F33" s="308"/>
      <c r="G33" s="151"/>
      <c r="H33" s="307"/>
      <c r="I33" s="307"/>
      <c r="J33" s="307"/>
      <c r="K33" s="307"/>
      <c r="L33" s="307"/>
      <c r="M33" s="287"/>
      <c r="N33"/>
      <c r="O33"/>
      <c r="P33"/>
      <c r="Q33"/>
      <c r="R33"/>
      <c r="S33"/>
      <c r="T33"/>
      <c r="U33"/>
      <c r="Y33" s="863" t="s">
        <v>387</v>
      </c>
      <c r="Z33" s="550">
        <f t="shared" si="2"/>
        <v>0</v>
      </c>
    </row>
    <row r="34" spans="1:26" s="91" customFormat="1" ht="17.399999999999999" x14ac:dyDescent="0.3">
      <c r="A34" s="380"/>
      <c r="B34" s="314" t="s">
        <v>492</v>
      </c>
      <c r="C34" s="306"/>
      <c r="D34" s="307"/>
      <c r="E34" s="307"/>
      <c r="F34" s="307"/>
      <c r="G34" s="307"/>
      <c r="H34" s="307"/>
      <c r="I34" s="307"/>
      <c r="J34" s="307"/>
      <c r="K34" s="307"/>
      <c r="L34" s="307"/>
      <c r="M34" s="287"/>
      <c r="N34" s="77"/>
      <c r="O34" s="77"/>
      <c r="P34" s="77"/>
      <c r="Q34" s="77"/>
      <c r="R34" s="77"/>
      <c r="S34" s="77"/>
      <c r="T34" s="77"/>
      <c r="U34" s="77"/>
      <c r="Y34" s="863" t="s">
        <v>249</v>
      </c>
      <c r="Z34" s="634">
        <f t="shared" si="2"/>
        <v>712.78800000000001</v>
      </c>
    </row>
    <row r="35" spans="1:26" s="91" customFormat="1" ht="17.399999999999999" x14ac:dyDescent="0.3">
      <c r="A35" s="380"/>
      <c r="B35" s="292"/>
      <c r="C35" s="289" t="s">
        <v>245</v>
      </c>
      <c r="D35" s="297"/>
      <c r="E35" s="297"/>
      <c r="F35" s="298">
        <f>IF('Gårdens info'!D24&gt;0,J282/'Gårdens info'!I24,0)</f>
        <v>6.93</v>
      </c>
      <c r="G35" s="151" t="s">
        <v>14</v>
      </c>
      <c r="H35" s="614">
        <f>IF('Gårdens info'!$G$24&gt;0,F35/'Gårdens info'!$G$24,0)</f>
        <v>2.917894736842105E-3</v>
      </c>
      <c r="I35" s="151" t="s">
        <v>6</v>
      </c>
      <c r="J35" s="298">
        <f>F35*'Gårdens info'!$D$24</f>
        <v>27.72</v>
      </c>
      <c r="K35" s="151" t="s">
        <v>491</v>
      </c>
      <c r="L35" s="307"/>
      <c r="M35" s="287"/>
      <c r="Y35" s="863" t="s">
        <v>388</v>
      </c>
      <c r="Z35" s="552">
        <f t="shared" si="2"/>
        <v>31560</v>
      </c>
    </row>
    <row r="36" spans="1:26" s="91" customFormat="1" ht="15" x14ac:dyDescent="0.25">
      <c r="A36" s="380"/>
      <c r="B36" s="296"/>
      <c r="C36" s="289" t="s">
        <v>387</v>
      </c>
      <c r="D36" s="297"/>
      <c r="E36" s="297"/>
      <c r="F36" s="298">
        <f>IF('Gårdens info'!D24&gt;0,J290/'Gårdens info'!I24,0)</f>
        <v>15.5</v>
      </c>
      <c r="G36" s="151" t="s">
        <v>14</v>
      </c>
      <c r="H36" s="614">
        <f>IF('Gårdens info'!$G$24&gt;0,F36/'Gårdens info'!$G$24,0)</f>
        <v>6.5263157894736839E-3</v>
      </c>
      <c r="I36" s="151" t="s">
        <v>6</v>
      </c>
      <c r="J36" s="298">
        <f>F36*'Gårdens info'!$D$24</f>
        <v>62</v>
      </c>
      <c r="K36" s="151" t="s">
        <v>491</v>
      </c>
      <c r="L36" s="297"/>
      <c r="M36" s="300"/>
      <c r="Y36" s="858" t="s">
        <v>572</v>
      </c>
      <c r="Z36" s="552">
        <f>F41</f>
        <v>414.81481481481484</v>
      </c>
    </row>
    <row r="37" spans="1:26" s="91" customFormat="1" ht="15" x14ac:dyDescent="0.25">
      <c r="A37" s="380"/>
      <c r="B37" s="296"/>
      <c r="C37" s="289" t="s">
        <v>249</v>
      </c>
      <c r="D37" s="297"/>
      <c r="E37" s="297"/>
      <c r="F37" s="298">
        <f>IF('Gårdens info'!D24&gt;0,J302/'Gårdens info'!I24,0)</f>
        <v>15.07</v>
      </c>
      <c r="G37" s="151" t="s">
        <v>14</v>
      </c>
      <c r="H37" s="614">
        <f>IF('Gårdens info'!$G$24&gt;0,F37/'Gårdens info'!$G$24,0)</f>
        <v>6.3452631578947366E-3</v>
      </c>
      <c r="I37" s="151" t="s">
        <v>6</v>
      </c>
      <c r="J37" s="298">
        <f>F37*'Gårdens info'!$D$24</f>
        <v>60.28</v>
      </c>
      <c r="K37" s="151" t="s">
        <v>491</v>
      </c>
      <c r="L37" s="297"/>
      <c r="M37" s="300"/>
      <c r="Y37" s="858" t="s">
        <v>728</v>
      </c>
      <c r="Z37" s="552">
        <f>F42</f>
        <v>177.77777777777777</v>
      </c>
    </row>
    <row r="38" spans="1:26" s="91" customFormat="1" ht="15" x14ac:dyDescent="0.25">
      <c r="A38" s="380"/>
      <c r="B38" s="296"/>
      <c r="C38" s="289" t="s">
        <v>388</v>
      </c>
      <c r="D38" s="297"/>
      <c r="E38" s="297"/>
      <c r="F38" s="298">
        <f>IF('Gårdens info'!D24&gt;0,L316/'Gårdens info'!I24,0)</f>
        <v>36.25</v>
      </c>
      <c r="G38" s="151" t="s">
        <v>14</v>
      </c>
      <c r="H38" s="614">
        <f>IF('Gårdens info'!$G$24&gt;0,F38/'Gårdens info'!$G$24,0)</f>
        <v>1.5263157894736841E-2</v>
      </c>
      <c r="I38" s="151" t="s">
        <v>6</v>
      </c>
      <c r="J38" s="298">
        <f>F38*'Gårdens info'!$D$24</f>
        <v>145</v>
      </c>
      <c r="K38" s="151" t="s">
        <v>491</v>
      </c>
      <c r="L38" s="297"/>
      <c r="M38" s="300"/>
      <c r="Y38" s="858" t="s">
        <v>576</v>
      </c>
      <c r="Z38" s="553">
        <f>F51</f>
        <v>752.8888888888888</v>
      </c>
    </row>
    <row r="39" spans="1:26" s="91" customFormat="1" ht="15.6" x14ac:dyDescent="0.3">
      <c r="A39" s="380"/>
      <c r="B39" s="349"/>
      <c r="C39" s="324" t="s">
        <v>196</v>
      </c>
      <c r="D39" s="324"/>
      <c r="E39" s="324"/>
      <c r="F39" s="325">
        <f>SUM(F35:F38)</f>
        <v>73.75</v>
      </c>
      <c r="G39" s="304" t="s">
        <v>14</v>
      </c>
      <c r="H39" s="617">
        <f>SUM(H35:H38)</f>
        <v>3.1052631578947366E-2</v>
      </c>
      <c r="I39" s="304" t="s">
        <v>6</v>
      </c>
      <c r="J39" s="320">
        <f>SUM(J35:J38)</f>
        <v>295</v>
      </c>
      <c r="K39" s="304" t="s">
        <v>491</v>
      </c>
      <c r="L39" s="327"/>
      <c r="M39" s="321"/>
      <c r="Y39" s="858" t="s">
        <v>577</v>
      </c>
      <c r="Z39" s="553">
        <f>F58</f>
        <v>357.60123456790126</v>
      </c>
    </row>
    <row r="40" spans="1:26" s="91" customFormat="1" ht="15.6" x14ac:dyDescent="0.3">
      <c r="A40" s="380"/>
      <c r="B40" s="349"/>
      <c r="C40" s="324"/>
      <c r="D40" s="324"/>
      <c r="E40" s="324"/>
      <c r="F40" s="325"/>
      <c r="G40" s="304"/>
      <c r="H40" s="326"/>
      <c r="I40" s="304"/>
      <c r="J40" s="320"/>
      <c r="K40" s="304"/>
      <c r="L40" s="327"/>
      <c r="M40" s="321"/>
      <c r="Y40" s="858" t="s">
        <v>578</v>
      </c>
      <c r="Z40" s="553">
        <f>F65</f>
        <v>459.23280952380958</v>
      </c>
    </row>
    <row r="41" spans="1:26" s="236" customFormat="1" ht="17.399999999999999" x14ac:dyDescent="0.3">
      <c r="A41" s="381"/>
      <c r="B41" s="947" t="s">
        <v>493</v>
      </c>
      <c r="C41" s="948"/>
      <c r="D41" s="948"/>
      <c r="E41" s="948"/>
      <c r="F41" s="325">
        <f>IF('Gårdens info'!D24&gt;0,J41/'Gårdens info'!D24,0)</f>
        <v>414.81481481481484</v>
      </c>
      <c r="G41" s="304" t="s">
        <v>14</v>
      </c>
      <c r="H41" s="617">
        <f>IF('Gårdens info'!G24&gt;0,F41/'Gårdens info'!G24,0)</f>
        <v>0.17465886939571151</v>
      </c>
      <c r="I41" s="304" t="s">
        <v>6</v>
      </c>
      <c r="J41" s="320">
        <f>'Gårdens info'!G147/'Gårdens info'!D37*'Gårdens info'!D24</f>
        <v>1659.2592592592594</v>
      </c>
      <c r="K41" s="304" t="s">
        <v>491</v>
      </c>
      <c r="L41" s="327"/>
      <c r="M41" s="321"/>
      <c r="N41" s="91"/>
      <c r="O41" s="91"/>
      <c r="P41" s="91"/>
      <c r="Q41" s="91"/>
      <c r="R41" s="91"/>
      <c r="S41" s="91"/>
      <c r="T41" s="91"/>
      <c r="U41" s="91"/>
      <c r="Y41" s="858" t="s">
        <v>162</v>
      </c>
      <c r="Z41" s="553">
        <f>F71</f>
        <v>22.222222222222221</v>
      </c>
    </row>
    <row r="42" spans="1:26" ht="17.399999999999999" x14ac:dyDescent="0.3">
      <c r="B42" s="949" t="s">
        <v>494</v>
      </c>
      <c r="C42" s="950"/>
      <c r="D42" s="950"/>
      <c r="E42" s="950"/>
      <c r="F42" s="325">
        <f>'Gårdens info'!$G$42*'Gårdens info'!$D$42/'Gårdens info'!$D$37*'Gårdens info'!D24</f>
        <v>177.77777777777777</v>
      </c>
      <c r="G42" s="304" t="s">
        <v>14</v>
      </c>
      <c r="H42" s="617">
        <f>IF('Gårdens info'!G24&gt;0,F42/'Gårdens info'!G24,0)</f>
        <v>7.4853801169590645E-2</v>
      </c>
      <c r="I42" s="304" t="s">
        <v>6</v>
      </c>
      <c r="J42" s="320">
        <f>F42*'Gårdens info'!D24</f>
        <v>711.11111111111109</v>
      </c>
      <c r="K42" s="304" t="s">
        <v>491</v>
      </c>
      <c r="L42" s="327"/>
      <c r="M42" s="321"/>
      <c r="N42" s="236"/>
      <c r="O42" s="236"/>
      <c r="P42" s="236"/>
      <c r="Q42" s="236"/>
      <c r="R42" s="236"/>
      <c r="S42" s="236"/>
      <c r="T42" s="236"/>
      <c r="U42" s="236"/>
      <c r="Y42" s="858" t="s">
        <v>727</v>
      </c>
      <c r="Z42" s="553">
        <f>F79</f>
        <v>1943</v>
      </c>
    </row>
    <row r="43" spans="1:26" ht="21" x14ac:dyDescent="0.4">
      <c r="B43" s="932" t="s">
        <v>226</v>
      </c>
      <c r="C43" s="933"/>
      <c r="D43" s="933"/>
      <c r="E43" s="324"/>
      <c r="F43" s="328">
        <f>F21+F32+F39+F41+F42</f>
        <v>37890.900759259268</v>
      </c>
      <c r="G43" s="329" t="s">
        <v>14</v>
      </c>
      <c r="H43" s="618">
        <f>H21+H32+H39+H41+H42</f>
        <v>15.954063477582846</v>
      </c>
      <c r="I43" s="329" t="s">
        <v>6</v>
      </c>
      <c r="J43" s="331">
        <f>J21+J32+J39+J41+J42</f>
        <v>151563.60303703707</v>
      </c>
      <c r="K43" s="329" t="s">
        <v>491</v>
      </c>
      <c r="L43" s="329"/>
      <c r="M43" s="321"/>
      <c r="Y43" s="879"/>
      <c r="Z43" s="236"/>
    </row>
    <row r="44" spans="1:26" ht="21" x14ac:dyDescent="0.4">
      <c r="B44" s="351"/>
      <c r="C44" s="332"/>
      <c r="D44" s="332"/>
      <c r="E44" s="324"/>
      <c r="F44" s="328"/>
      <c r="G44" s="329"/>
      <c r="H44" s="330"/>
      <c r="I44" s="329"/>
      <c r="J44" s="331"/>
      <c r="K44" s="329"/>
      <c r="L44" s="329"/>
      <c r="M44" s="321"/>
      <c r="Y44" s="24"/>
    </row>
    <row r="45" spans="1:26" s="91" customFormat="1" ht="21" x14ac:dyDescent="0.4">
      <c r="A45" s="380"/>
      <c r="B45" s="319" t="s">
        <v>495</v>
      </c>
      <c r="C45" s="286"/>
      <c r="D45" s="148"/>
      <c r="E45" s="148"/>
      <c r="F45" s="148"/>
      <c r="G45" s="148"/>
      <c r="H45" s="148"/>
      <c r="I45" s="148"/>
      <c r="J45" s="293"/>
      <c r="K45" s="148"/>
      <c r="L45" s="148"/>
      <c r="M45" s="287"/>
      <c r="N45"/>
      <c r="O45"/>
      <c r="P45"/>
      <c r="Q45"/>
      <c r="R45"/>
      <c r="S45"/>
      <c r="T45"/>
      <c r="U45"/>
      <c r="Y45"/>
      <c r="Z45"/>
    </row>
    <row r="46" spans="1:26" s="91" customFormat="1" ht="21" customHeight="1" x14ac:dyDescent="0.4">
      <c r="A46" s="380"/>
      <c r="B46" s="947" t="s">
        <v>149</v>
      </c>
      <c r="C46" s="948"/>
      <c r="D46" s="833"/>
      <c r="E46" s="324"/>
      <c r="F46" s="328"/>
      <c r="G46" s="329"/>
      <c r="H46" s="330"/>
      <c r="I46" s="329"/>
      <c r="J46" s="331"/>
      <c r="K46" s="329"/>
      <c r="L46" s="329"/>
      <c r="M46" s="321"/>
      <c r="Y46"/>
      <c r="Z46"/>
    </row>
    <row r="47" spans="1:26" s="91" customFormat="1" ht="21" x14ac:dyDescent="0.4">
      <c r="A47" s="380"/>
      <c r="B47" s="350"/>
      <c r="C47" s="838" t="s">
        <v>264</v>
      </c>
      <c r="D47" s="833"/>
      <c r="E47" s="324"/>
      <c r="F47" s="338">
        <f>IF('Gårdens info'!$D$24&gt;0,J47/'Gårdens info'!$D$24,0)</f>
        <v>391.11111111111109</v>
      </c>
      <c r="G47" s="151" t="s">
        <v>14</v>
      </c>
      <c r="H47" s="613">
        <f>IF('Gårdens info'!$G$24&gt;0,F47/'Gårdens info'!$G$24,0)</f>
        <v>0.1646783625730994</v>
      </c>
      <c r="I47" s="151" t="s">
        <v>6</v>
      </c>
      <c r="J47" s="298">
        <f>Ägendom!AT22</f>
        <v>1564.4444444444443</v>
      </c>
      <c r="K47" s="151" t="s">
        <v>491</v>
      </c>
      <c r="L47" s="329"/>
      <c r="M47" s="321"/>
    </row>
    <row r="48" spans="1:26" s="8" customFormat="1" ht="21" x14ac:dyDescent="0.4">
      <c r="A48" s="378"/>
      <c r="B48" s="350"/>
      <c r="C48" s="838" t="s">
        <v>265</v>
      </c>
      <c r="D48" s="833"/>
      <c r="E48" s="324"/>
      <c r="F48" s="338">
        <f>IF('Gårdens info'!$D$24&gt;0,J48/'Gårdens info'!$D$24,0)</f>
        <v>244.44444444444443</v>
      </c>
      <c r="G48" s="151" t="s">
        <v>14</v>
      </c>
      <c r="H48" s="613">
        <f>IF('Gårdens info'!$G$24&gt;0,F48/'Gårdens info'!$G$24,0)</f>
        <v>0.10292397660818713</v>
      </c>
      <c r="I48" s="151" t="s">
        <v>6</v>
      </c>
      <c r="J48" s="298">
        <f>Ägendom!BP22</f>
        <v>977.77777777777771</v>
      </c>
      <c r="K48" s="151" t="s">
        <v>491</v>
      </c>
      <c r="L48" s="329"/>
      <c r="M48" s="321"/>
      <c r="N48" s="91"/>
      <c r="O48" s="91"/>
      <c r="P48" s="91"/>
      <c r="Q48" s="91"/>
      <c r="R48" s="91"/>
      <c r="S48" s="91"/>
      <c r="T48" s="91"/>
      <c r="U48" s="91"/>
      <c r="Y48" s="91"/>
      <c r="Z48" s="91"/>
    </row>
    <row r="49" spans="1:26" s="8" customFormat="1" ht="17.399999999999999" customHeight="1" x14ac:dyDescent="0.3">
      <c r="A49" s="378"/>
      <c r="B49" s="350"/>
      <c r="C49" s="941" t="s">
        <v>266</v>
      </c>
      <c r="D49" s="941"/>
      <c r="E49" s="324"/>
      <c r="F49" s="338">
        <f>IF('Gårdens info'!$D$24&gt;0,J49/'Gårdens info'!$D$24,0)</f>
        <v>97.777777777777771</v>
      </c>
      <c r="G49" s="151" t="s">
        <v>14</v>
      </c>
      <c r="H49" s="613">
        <f>IF('Gårdens info'!$G$24&gt;0,F49/'Gårdens info'!$G$24,0)</f>
        <v>4.1169590643274849E-2</v>
      </c>
      <c r="I49" s="151" t="s">
        <v>6</v>
      </c>
      <c r="J49" s="298">
        <f>Ägendom!CL22</f>
        <v>391.11111111111109</v>
      </c>
      <c r="K49" s="151" t="s">
        <v>491</v>
      </c>
      <c r="L49" s="329"/>
      <c r="M49" s="321"/>
      <c r="Y49" s="91"/>
      <c r="Z49" s="91"/>
    </row>
    <row r="50" spans="1:26" s="8" customFormat="1" ht="21" x14ac:dyDescent="0.4">
      <c r="A50" s="378"/>
      <c r="B50" s="350"/>
      <c r="C50" s="838" t="s">
        <v>399</v>
      </c>
      <c r="D50" s="833"/>
      <c r="E50" s="324"/>
      <c r="F50" s="338">
        <f>IF('Gårdens info'!$D$24&gt;0,J50/'Gårdens info'!$D$24,0)</f>
        <v>19.555555555555554</v>
      </c>
      <c r="G50" s="151" t="s">
        <v>14</v>
      </c>
      <c r="H50" s="613">
        <f>IF('Gårdens info'!$G$24&gt;0,F50/'Gårdens info'!$G$24,0)</f>
        <v>8.2339181286549702E-3</v>
      </c>
      <c r="I50" s="151" t="s">
        <v>6</v>
      </c>
      <c r="J50" s="298">
        <f>Ägendom!DH22</f>
        <v>78.222222222222214</v>
      </c>
      <c r="K50" s="151" t="s">
        <v>491</v>
      </c>
      <c r="L50" s="329"/>
      <c r="M50" s="321"/>
    </row>
    <row r="51" spans="1:26" s="8" customFormat="1" ht="20.399999999999999" x14ac:dyDescent="0.35">
      <c r="A51" s="378"/>
      <c r="B51" s="352"/>
      <c r="C51" s="340" t="s">
        <v>196</v>
      </c>
      <c r="D51" s="341"/>
      <c r="E51" s="324"/>
      <c r="F51" s="342">
        <f>SUM(F47:F50)</f>
        <v>752.8888888888888</v>
      </c>
      <c r="G51" s="151" t="s">
        <v>14</v>
      </c>
      <c r="H51" s="620">
        <f t="shared" ref="H51:J51" si="3">SUM(H47:H50)</f>
        <v>0.31700584795321635</v>
      </c>
      <c r="I51" s="151" t="s">
        <v>6</v>
      </c>
      <c r="J51" s="342">
        <f t="shared" si="3"/>
        <v>3011.5555555555552</v>
      </c>
      <c r="K51" s="151" t="s">
        <v>491</v>
      </c>
      <c r="L51" s="343"/>
      <c r="M51" s="321"/>
    </row>
    <row r="52" spans="1:26" s="8" customFormat="1" ht="21" x14ac:dyDescent="0.4">
      <c r="A52" s="378"/>
      <c r="B52" s="350"/>
      <c r="C52" s="838"/>
      <c r="D52" s="833"/>
      <c r="E52" s="324"/>
      <c r="F52" s="338"/>
      <c r="G52" s="151"/>
      <c r="H52" s="339"/>
      <c r="I52" s="151"/>
      <c r="J52" s="298"/>
      <c r="K52" s="151"/>
      <c r="L52" s="329"/>
      <c r="M52" s="321"/>
    </row>
    <row r="53" spans="1:26" s="8" customFormat="1" ht="43.05" customHeight="1" x14ac:dyDescent="0.3">
      <c r="A53" s="378"/>
      <c r="B53" s="970" t="s">
        <v>400</v>
      </c>
      <c r="C53" s="971"/>
      <c r="D53" s="971"/>
      <c r="E53" s="324"/>
      <c r="F53" s="338"/>
      <c r="G53" s="151"/>
      <c r="H53" s="339"/>
      <c r="I53" s="151"/>
      <c r="J53" s="298"/>
      <c r="K53" s="151"/>
      <c r="L53" s="329"/>
      <c r="M53" s="321"/>
    </row>
    <row r="54" spans="1:26" ht="21" x14ac:dyDescent="0.4">
      <c r="B54" s="350"/>
      <c r="C54" s="838" t="s">
        <v>264</v>
      </c>
      <c r="D54" s="833"/>
      <c r="E54" s="324"/>
      <c r="F54" s="338">
        <f>IF('Gårdens info'!$D$24&gt;0,J54/'Gårdens info'!$D$24,0)</f>
        <v>150.8641975308642</v>
      </c>
      <c r="G54" s="151" t="s">
        <v>14</v>
      </c>
      <c r="H54" s="613">
        <f>IF('Gårdens info'!$G$24&gt;0,F54/'Gårdens info'!$G$24,0)</f>
        <v>6.3521767381416502E-2</v>
      </c>
      <c r="I54" s="151" t="s">
        <v>6</v>
      </c>
      <c r="J54" s="298">
        <f>Ägendom!AT51</f>
        <v>603.45679012345681</v>
      </c>
      <c r="K54" s="151" t="s">
        <v>491</v>
      </c>
      <c r="L54" s="329"/>
      <c r="M54" s="321"/>
      <c r="N54" s="8"/>
      <c r="O54" s="8"/>
      <c r="P54" s="8"/>
      <c r="Q54" s="8"/>
      <c r="R54" s="8"/>
      <c r="S54" s="8"/>
      <c r="T54" s="8"/>
      <c r="U54" s="8"/>
      <c r="Y54" s="8"/>
      <c r="Z54" s="8"/>
    </row>
    <row r="55" spans="1:26" s="8" customFormat="1" ht="21" x14ac:dyDescent="0.4">
      <c r="A55" s="378"/>
      <c r="B55" s="350"/>
      <c r="C55" s="838" t="s">
        <v>265</v>
      </c>
      <c r="D55" s="833"/>
      <c r="E55" s="324"/>
      <c r="F55" s="338">
        <f>IF('Gårdens info'!$D$24&gt;0,J55/'Gårdens info'!$D$24,0)</f>
        <v>56.574074074074076</v>
      </c>
      <c r="G55" s="151" t="s">
        <v>14</v>
      </c>
      <c r="H55" s="613">
        <f>IF('Gårdens info'!$G$24&gt;0,F55/'Gårdens info'!$G$24,0)</f>
        <v>2.382066276803119E-2</v>
      </c>
      <c r="I55" s="151" t="s">
        <v>6</v>
      </c>
      <c r="J55" s="298">
        <f>Ägendom!BP51</f>
        <v>226.2962962962963</v>
      </c>
      <c r="K55" s="151" t="s">
        <v>491</v>
      </c>
      <c r="L55" s="329"/>
      <c r="M55" s="321"/>
      <c r="N55"/>
      <c r="O55"/>
      <c r="P55"/>
      <c r="Q55"/>
      <c r="R55"/>
      <c r="S55"/>
      <c r="T55"/>
      <c r="U55"/>
    </row>
    <row r="56" spans="1:26" s="8" customFormat="1" ht="17.399999999999999" customHeight="1" x14ac:dyDescent="0.3">
      <c r="A56" s="378"/>
      <c r="B56" s="350"/>
      <c r="C56" s="941" t="s">
        <v>266</v>
      </c>
      <c r="D56" s="941"/>
      <c r="E56" s="324"/>
      <c r="F56" s="338">
        <f>IF('Gårdens info'!$D$24&gt;0,J56/'Gårdens info'!$D$24,0)</f>
        <v>140.77777777777774</v>
      </c>
      <c r="G56" s="151" t="s">
        <v>14</v>
      </c>
      <c r="H56" s="613">
        <f>IF('Gårdens info'!$G$24&gt;0,F56/'Gårdens info'!$G$24,0)</f>
        <v>5.9274853801169577E-2</v>
      </c>
      <c r="I56" s="151" t="s">
        <v>6</v>
      </c>
      <c r="J56" s="298">
        <f>Ägendom!CL51</f>
        <v>563.11111111111097</v>
      </c>
      <c r="K56" s="151" t="s">
        <v>491</v>
      </c>
      <c r="L56" s="329"/>
      <c r="M56" s="321"/>
      <c r="Y56"/>
      <c r="Z56"/>
    </row>
    <row r="57" spans="1:26" s="8" customFormat="1" ht="21" x14ac:dyDescent="0.4">
      <c r="A57" s="378"/>
      <c r="B57" s="350"/>
      <c r="C57" s="838" t="s">
        <v>399</v>
      </c>
      <c r="D57" s="833"/>
      <c r="E57" s="324"/>
      <c r="F57" s="338">
        <f>IF('Gårdens info'!$D$24&gt;0,J57/'Gårdens info'!$D$24,0)</f>
        <v>9.3851851851851844</v>
      </c>
      <c r="G57" s="151" t="s">
        <v>14</v>
      </c>
      <c r="H57" s="613">
        <f>IF('Gårdens info'!$G$24&gt;0,F57/'Gårdens info'!$G$24,0)</f>
        <v>3.9516569200779726E-3</v>
      </c>
      <c r="I57" s="151" t="s">
        <v>6</v>
      </c>
      <c r="J57" s="298">
        <f>Ägendom!DH51</f>
        <v>37.540740740740738</v>
      </c>
      <c r="K57" s="151" t="s">
        <v>491</v>
      </c>
      <c r="L57" s="329"/>
      <c r="M57" s="321"/>
    </row>
    <row r="58" spans="1:26" s="8" customFormat="1" ht="20.399999999999999" x14ac:dyDescent="0.35">
      <c r="A58" s="378"/>
      <c r="B58" s="352"/>
      <c r="C58" s="340" t="s">
        <v>196</v>
      </c>
      <c r="D58" s="341"/>
      <c r="E58" s="324"/>
      <c r="F58" s="342">
        <f>SUM(F54:F57)</f>
        <v>357.60123456790126</v>
      </c>
      <c r="G58" s="151" t="s">
        <v>14</v>
      </c>
      <c r="H58" s="620">
        <f t="shared" ref="H58:J58" si="4">SUM(H54:H57)</f>
        <v>0.15056894087069525</v>
      </c>
      <c r="I58" s="151" t="s">
        <v>6</v>
      </c>
      <c r="J58" s="342">
        <f t="shared" si="4"/>
        <v>1430.404938271605</v>
      </c>
      <c r="K58" s="151" t="s">
        <v>491</v>
      </c>
      <c r="L58" s="343"/>
      <c r="M58" s="321"/>
    </row>
    <row r="59" spans="1:26" s="8" customFormat="1" ht="21" x14ac:dyDescent="0.4">
      <c r="A59" s="378"/>
      <c r="B59" s="350"/>
      <c r="C59" s="838"/>
      <c r="D59" s="833"/>
      <c r="E59" s="324"/>
      <c r="F59" s="338"/>
      <c r="G59" s="151"/>
      <c r="H59" s="339"/>
      <c r="I59" s="151"/>
      <c r="J59" s="298"/>
      <c r="K59" s="151"/>
      <c r="L59" s="329"/>
      <c r="M59" s="321"/>
    </row>
    <row r="60" spans="1:26" s="8" customFormat="1" ht="17.399999999999999" customHeight="1" x14ac:dyDescent="0.3">
      <c r="A60" s="378"/>
      <c r="B60" s="947" t="s">
        <v>151</v>
      </c>
      <c r="C60" s="948"/>
      <c r="D60" s="948"/>
      <c r="E60" s="324"/>
      <c r="F60" s="338"/>
      <c r="G60" s="151"/>
      <c r="H60" s="339"/>
      <c r="I60" s="151"/>
      <c r="J60" s="298"/>
      <c r="K60" s="151"/>
      <c r="L60" s="329"/>
      <c r="M60" s="321"/>
    </row>
    <row r="61" spans="1:26" s="8" customFormat="1" ht="21" x14ac:dyDescent="0.4">
      <c r="A61" s="378"/>
      <c r="B61" s="350"/>
      <c r="C61" s="838" t="s">
        <v>264</v>
      </c>
      <c r="D61" s="833"/>
      <c r="E61" s="324"/>
      <c r="F61" s="338">
        <f>IF('Gårdens info'!$D$24&gt;0,J61/'Gårdens info'!$D$24,0)</f>
        <v>298.52380952380952</v>
      </c>
      <c r="G61" s="151" t="s">
        <v>14</v>
      </c>
      <c r="H61" s="613">
        <f>IF('Gårdens info'!$G$24&gt;0,F61/'Gårdens info'!$G$24,0)</f>
        <v>0.12569423558897244</v>
      </c>
      <c r="I61" s="151" t="s">
        <v>6</v>
      </c>
      <c r="J61" s="298">
        <f>Ägendom!AT76</f>
        <v>1194.0952380952381</v>
      </c>
      <c r="K61" s="151" t="s">
        <v>491</v>
      </c>
      <c r="L61" s="329"/>
      <c r="M61" s="321"/>
    </row>
    <row r="62" spans="1:26" s="8" customFormat="1" ht="19.95" customHeight="1" x14ac:dyDescent="0.4">
      <c r="A62" s="378"/>
      <c r="B62" s="350"/>
      <c r="C62" s="838" t="s">
        <v>265</v>
      </c>
      <c r="D62" s="833"/>
      <c r="E62" s="324"/>
      <c r="F62" s="338">
        <f>IF('Gårdens info'!$D$24&gt;0,J62/'Gårdens info'!$D$24,0)</f>
        <v>42.484523809523814</v>
      </c>
      <c r="G62" s="151" t="s">
        <v>14</v>
      </c>
      <c r="H62" s="613">
        <f>IF('Gårdens info'!$G$24&gt;0,F62/'Gårdens info'!$G$24,0)</f>
        <v>1.788822055137845E-2</v>
      </c>
      <c r="I62" s="151" t="s">
        <v>6</v>
      </c>
      <c r="J62" s="298">
        <f>Ägendom!BP76</f>
        <v>169.93809523809526</v>
      </c>
      <c r="K62" s="151" t="s">
        <v>491</v>
      </c>
      <c r="L62" s="329"/>
      <c r="M62" s="321"/>
    </row>
    <row r="63" spans="1:26" s="8" customFormat="1" ht="17.399999999999999" customHeight="1" x14ac:dyDescent="0.3">
      <c r="A63" s="378"/>
      <c r="B63" s="350"/>
      <c r="C63" s="941" t="s">
        <v>266</v>
      </c>
      <c r="D63" s="941"/>
      <c r="E63" s="324"/>
      <c r="F63" s="338">
        <f>IF('Gårdens info'!$D$24&gt;0,J63/'Gårdens info'!$D$24,0)</f>
        <v>113.67738095238096</v>
      </c>
      <c r="G63" s="151" t="s">
        <v>14</v>
      </c>
      <c r="H63" s="613">
        <f>IF('Gårdens info'!$G$24&gt;0,F63/'Gårdens info'!$G$24,0)</f>
        <v>4.7864160401002512E-2</v>
      </c>
      <c r="I63" s="151" t="s">
        <v>6</v>
      </c>
      <c r="J63" s="298">
        <f>Ägendom!CL76</f>
        <v>454.70952380952383</v>
      </c>
      <c r="K63" s="151" t="s">
        <v>491</v>
      </c>
      <c r="L63" s="329"/>
      <c r="M63" s="321"/>
    </row>
    <row r="64" spans="1:26" s="8" customFormat="1" ht="21" x14ac:dyDescent="0.4">
      <c r="A64" s="378"/>
      <c r="B64" s="350"/>
      <c r="C64" s="838" t="s">
        <v>399</v>
      </c>
      <c r="D64" s="833"/>
      <c r="E64" s="324"/>
      <c r="F64" s="338">
        <f>IF('Gårdens info'!$D$24&gt;0,J64/'Gårdens info'!$D$24,0)</f>
        <v>4.5470952380952383</v>
      </c>
      <c r="G64" s="151" t="s">
        <v>14</v>
      </c>
      <c r="H64" s="613">
        <f>IF('Gårdens info'!$G$24&gt;0,F64/'Gårdens info'!$G$24,0)</f>
        <v>1.9145664160401003E-3</v>
      </c>
      <c r="I64" s="151" t="s">
        <v>6</v>
      </c>
      <c r="J64" s="298">
        <f>Ägendom!DH76</f>
        <v>18.188380952380953</v>
      </c>
      <c r="K64" s="151" t="s">
        <v>491</v>
      </c>
      <c r="L64" s="329"/>
      <c r="M64" s="321"/>
    </row>
    <row r="65" spans="1:26" s="8" customFormat="1" ht="20.399999999999999" x14ac:dyDescent="0.35">
      <c r="A65" s="378"/>
      <c r="B65" s="352"/>
      <c r="C65" s="340" t="s">
        <v>196</v>
      </c>
      <c r="D65" s="341"/>
      <c r="E65" s="324"/>
      <c r="F65" s="342">
        <f>SUM(F61:F64)</f>
        <v>459.23280952380958</v>
      </c>
      <c r="G65" s="151" t="s">
        <v>14</v>
      </c>
      <c r="H65" s="620">
        <f t="shared" ref="H65:J65" si="5">SUM(H61:H64)</f>
        <v>0.19336118295739352</v>
      </c>
      <c r="I65" s="151" t="s">
        <v>6</v>
      </c>
      <c r="J65" s="342">
        <f t="shared" si="5"/>
        <v>1836.9312380952383</v>
      </c>
      <c r="K65" s="151" t="s">
        <v>491</v>
      </c>
      <c r="L65" s="343"/>
      <c r="M65" s="321"/>
    </row>
    <row r="66" spans="1:26" s="8" customFormat="1" ht="21" x14ac:dyDescent="0.4">
      <c r="A66" s="378"/>
      <c r="B66" s="350"/>
      <c r="C66" s="838"/>
      <c r="D66" s="833"/>
      <c r="E66" s="324"/>
      <c r="F66" s="338"/>
      <c r="G66" s="151"/>
      <c r="H66" s="339"/>
      <c r="I66" s="151"/>
      <c r="J66" s="298"/>
      <c r="K66" s="151"/>
      <c r="L66" s="329"/>
      <c r="M66" s="321"/>
    </row>
    <row r="67" spans="1:26" s="8" customFormat="1" ht="21" customHeight="1" x14ac:dyDescent="0.4">
      <c r="A67" s="378"/>
      <c r="B67" s="951" t="s">
        <v>160</v>
      </c>
      <c r="C67" s="952"/>
      <c r="D67" s="833"/>
      <c r="E67" s="324"/>
      <c r="F67" s="338"/>
      <c r="G67" s="151"/>
      <c r="H67" s="339"/>
      <c r="I67" s="151"/>
      <c r="J67" s="298"/>
      <c r="K67" s="151"/>
      <c r="L67" s="329"/>
      <c r="M67" s="321"/>
    </row>
    <row r="68" spans="1:26" s="8" customFormat="1" ht="21" x14ac:dyDescent="0.4">
      <c r="A68" s="378"/>
      <c r="B68" s="350"/>
      <c r="C68" s="838" t="s">
        <v>264</v>
      </c>
      <c r="D68" s="833"/>
      <c r="E68" s="324"/>
      <c r="F68" s="338">
        <f>IF('Gårdens info'!$D$24&gt;0,J68/'Gårdens info'!$D$24,0)</f>
        <v>0</v>
      </c>
      <c r="G68" s="151" t="s">
        <v>14</v>
      </c>
      <c r="H68" s="613">
        <f>IF('Gårdens info'!$G$24&gt;0,F68/'Gårdens info'!$G$24,0)</f>
        <v>0</v>
      </c>
      <c r="I68" s="151" t="s">
        <v>6</v>
      </c>
      <c r="J68" s="298">
        <f>Ägendom!AT79</f>
        <v>0</v>
      </c>
      <c r="K68" s="151" t="s">
        <v>491</v>
      </c>
      <c r="L68" s="329"/>
      <c r="M68" s="321"/>
    </row>
    <row r="69" spans="1:26" s="8" customFormat="1" ht="19.95" customHeight="1" x14ac:dyDescent="0.4">
      <c r="A69" s="378"/>
      <c r="B69" s="350"/>
      <c r="C69" s="838" t="s">
        <v>265</v>
      </c>
      <c r="D69" s="833"/>
      <c r="E69" s="324"/>
      <c r="F69" s="338">
        <f>IF('Gårdens info'!$D$24&gt;0,J69/'Gårdens info'!$D$24,0)</f>
        <v>0</v>
      </c>
      <c r="G69" s="151" t="s">
        <v>14</v>
      </c>
      <c r="H69" s="613">
        <f>IF('Gårdens info'!$G$24&gt;0,F69/'Gårdens info'!$G$24,0)</f>
        <v>0</v>
      </c>
      <c r="I69" s="151" t="s">
        <v>6</v>
      </c>
      <c r="J69" s="298">
        <f>Ägendom!BP79</f>
        <v>0</v>
      </c>
      <c r="K69" s="151" t="s">
        <v>491</v>
      </c>
      <c r="L69" s="329"/>
      <c r="M69" s="321"/>
    </row>
    <row r="70" spans="1:26" s="8" customFormat="1" ht="17.399999999999999" customHeight="1" x14ac:dyDescent="0.3">
      <c r="A70" s="378"/>
      <c r="B70" s="350"/>
      <c r="C70" s="941" t="s">
        <v>266</v>
      </c>
      <c r="D70" s="941"/>
      <c r="E70" s="324"/>
      <c r="F70" s="338">
        <f>IF('Gårdens info'!$D$24&gt;0,J70/'Gårdens info'!$D$24,0)</f>
        <v>22.222222222222221</v>
      </c>
      <c r="G70" s="151" t="s">
        <v>14</v>
      </c>
      <c r="H70" s="613">
        <f>IF('Gårdens info'!$G$24&gt;0,F70/'Gårdens info'!$G$24,0)</f>
        <v>9.3567251461988306E-3</v>
      </c>
      <c r="I70" s="151" t="s">
        <v>6</v>
      </c>
      <c r="J70" s="298">
        <f>Ägendom!CL79</f>
        <v>88.888888888888886</v>
      </c>
      <c r="K70" s="151" t="s">
        <v>491</v>
      </c>
      <c r="L70" s="329"/>
      <c r="M70" s="321"/>
    </row>
    <row r="71" spans="1:26" s="8" customFormat="1" ht="15.6" x14ac:dyDescent="0.3">
      <c r="A71" s="378"/>
      <c r="B71" s="349"/>
      <c r="C71" s="323" t="s">
        <v>196</v>
      </c>
      <c r="D71" s="323"/>
      <c r="E71" s="323"/>
      <c r="F71" s="342">
        <f>SUM(F68:F70)</f>
        <v>22.222222222222221</v>
      </c>
      <c r="G71" s="151" t="s">
        <v>14</v>
      </c>
      <c r="H71" s="620">
        <f t="shared" ref="H71:J71" si="6">SUM(H68:H70)</f>
        <v>9.3567251461988306E-3</v>
      </c>
      <c r="I71" s="151" t="s">
        <v>6</v>
      </c>
      <c r="J71" s="342">
        <f t="shared" si="6"/>
        <v>88.888888888888886</v>
      </c>
      <c r="K71" s="151" t="s">
        <v>491</v>
      </c>
      <c r="L71" s="347"/>
      <c r="M71" s="353"/>
    </row>
    <row r="72" spans="1:26" s="8" customFormat="1" ht="21" customHeight="1" x14ac:dyDescent="0.4">
      <c r="A72" s="378"/>
      <c r="B72" s="932" t="s">
        <v>229</v>
      </c>
      <c r="C72" s="933"/>
      <c r="D72" s="933"/>
      <c r="E72" s="324"/>
      <c r="F72" s="328">
        <f>F51+F58+F65+F71</f>
        <v>1591.9451552028218</v>
      </c>
      <c r="G72" s="329" t="s">
        <v>14</v>
      </c>
      <c r="H72" s="618">
        <f>H51+H58+H65+H71</f>
        <v>0.67029269692750382</v>
      </c>
      <c r="I72" s="329" t="s">
        <v>6</v>
      </c>
      <c r="J72" s="331">
        <f>J51+J58+J65+J71</f>
        <v>6367.780620811287</v>
      </c>
      <c r="K72" s="329" t="s">
        <v>491</v>
      </c>
      <c r="L72" s="329"/>
      <c r="M72" s="321"/>
    </row>
    <row r="73" spans="1:26" s="8" customFormat="1" ht="15.6" x14ac:dyDescent="0.3">
      <c r="A73" s="378"/>
      <c r="B73" s="349"/>
      <c r="C73" s="324"/>
      <c r="D73" s="324"/>
      <c r="E73" s="324"/>
      <c r="F73" s="325"/>
      <c r="G73" s="304"/>
      <c r="H73" s="326"/>
      <c r="I73" s="304"/>
      <c r="J73" s="320"/>
      <c r="K73" s="304"/>
      <c r="L73" s="327"/>
      <c r="M73" s="321"/>
    </row>
    <row r="74" spans="1:26" s="8" customFormat="1" ht="21" x14ac:dyDescent="0.4">
      <c r="A74" s="378"/>
      <c r="B74" s="319" t="s">
        <v>230</v>
      </c>
      <c r="C74" s="324"/>
      <c r="D74" s="324"/>
      <c r="E74" s="324"/>
      <c r="F74" s="325"/>
      <c r="G74" s="304"/>
      <c r="H74" s="326"/>
      <c r="I74" s="304"/>
      <c r="J74" s="320"/>
      <c r="K74" s="304"/>
      <c r="L74" s="327"/>
      <c r="M74" s="321"/>
    </row>
    <row r="75" spans="1:26" s="8" customFormat="1" ht="17.399999999999999" x14ac:dyDescent="0.3">
      <c r="A75" s="378"/>
      <c r="B75" s="984" t="s">
        <v>383</v>
      </c>
      <c r="C75" s="985"/>
      <c r="D75" s="985"/>
      <c r="E75" s="153"/>
      <c r="F75" s="153"/>
      <c r="G75" s="153"/>
      <c r="H75" s="153"/>
      <c r="I75" s="153"/>
      <c r="J75" s="294"/>
      <c r="K75" s="153"/>
      <c r="L75" s="153"/>
      <c r="M75" s="295"/>
    </row>
    <row r="76" spans="1:26" s="8" customFormat="1" ht="15" x14ac:dyDescent="0.25">
      <c r="A76" s="378"/>
      <c r="B76" s="296"/>
      <c r="C76" s="289" t="s">
        <v>44</v>
      </c>
      <c r="D76" s="297"/>
      <c r="E76" s="297"/>
      <c r="F76" s="298">
        <f>IF('Gårdens info'!D24&gt;0,H166/'Gårdens info'!I24,0)</f>
        <v>194.84375</v>
      </c>
      <c r="G76" s="151" t="s">
        <v>14</v>
      </c>
      <c r="H76" s="614">
        <f>IF('Gårdens info'!G24&gt;0,F76/'Gårdens info'!$G$24,0)</f>
        <v>8.2039473684210523E-2</v>
      </c>
      <c r="I76" s="151" t="s">
        <v>6</v>
      </c>
      <c r="J76" s="298">
        <f>F76*'Gårdens info'!D24</f>
        <v>779.375</v>
      </c>
      <c r="K76" s="151" t="s">
        <v>491</v>
      </c>
      <c r="L76" s="297"/>
      <c r="M76" s="300"/>
    </row>
    <row r="77" spans="1:26" s="8" customFormat="1" ht="15.6" x14ac:dyDescent="0.3">
      <c r="A77" s="378"/>
      <c r="B77" s="349"/>
      <c r="C77" s="324"/>
      <c r="D77" s="324"/>
      <c r="E77" s="324"/>
      <c r="F77" s="325"/>
      <c r="G77" s="304"/>
      <c r="H77" s="326"/>
      <c r="I77" s="304"/>
      <c r="J77" s="320"/>
      <c r="K77" s="304"/>
      <c r="L77" s="327"/>
      <c r="M77" s="321"/>
    </row>
    <row r="78" spans="1:26" s="8" customFormat="1" ht="17.399999999999999" x14ac:dyDescent="0.3">
      <c r="A78" s="378"/>
      <c r="B78" s="612" t="s">
        <v>270</v>
      </c>
      <c r="C78" s="306"/>
      <c r="D78" s="310"/>
      <c r="E78" s="310"/>
      <c r="F78" s="311"/>
      <c r="G78" s="153"/>
      <c r="H78" s="310"/>
      <c r="I78" s="310"/>
      <c r="J78" s="310"/>
      <c r="K78" s="310"/>
      <c r="L78" s="310"/>
      <c r="M78" s="295"/>
    </row>
    <row r="79" spans="1:26" s="8" customFormat="1" ht="15" x14ac:dyDescent="0.25">
      <c r="A79" s="378"/>
      <c r="B79" s="296"/>
      <c r="C79" s="289" t="s">
        <v>44</v>
      </c>
      <c r="D79" s="297"/>
      <c r="E79" s="297"/>
      <c r="F79" s="298">
        <f>IF('Gårdens info'!D24&gt;0,H265,0)</f>
        <v>1943</v>
      </c>
      <c r="G79" s="151" t="s">
        <v>14</v>
      </c>
      <c r="H79" s="614">
        <f>IF('Gårdens info'!G24&gt;0,F79/'Gårdens info'!$G$24,0)</f>
        <v>0.81810526315789478</v>
      </c>
      <c r="I79" s="151" t="s">
        <v>6</v>
      </c>
      <c r="J79" s="298">
        <f>F79*'Gårdens info'!D24</f>
        <v>7772</v>
      </c>
      <c r="K79" s="151" t="s">
        <v>491</v>
      </c>
      <c r="L79" s="297"/>
      <c r="M79" s="300"/>
    </row>
    <row r="80" spans="1:26" s="239" customFormat="1" ht="17.399999999999999" x14ac:dyDescent="0.3">
      <c r="A80" s="382"/>
      <c r="B80" s="309"/>
      <c r="C80" s="306"/>
      <c r="D80" s="310"/>
      <c r="E80" s="310"/>
      <c r="F80" s="311"/>
      <c r="G80" s="153"/>
      <c r="H80" s="310"/>
      <c r="I80" s="310"/>
      <c r="J80" s="310"/>
      <c r="K80" s="310"/>
      <c r="L80" s="310"/>
      <c r="M80" s="295"/>
      <c r="N80" s="8"/>
      <c r="O80" s="8"/>
      <c r="P80" s="8"/>
      <c r="Q80" s="8"/>
      <c r="R80" s="8"/>
      <c r="S80" s="8"/>
      <c r="T80" s="8"/>
      <c r="U80" s="8"/>
      <c r="Y80" s="8"/>
      <c r="Z80" s="8"/>
    </row>
    <row r="81" spans="1:26" s="8" customFormat="1" ht="17.399999999999999" x14ac:dyDescent="0.3">
      <c r="A81" s="378"/>
      <c r="B81" s="612" t="s">
        <v>395</v>
      </c>
      <c r="C81" s="306"/>
      <c r="D81" s="307"/>
      <c r="E81" s="307"/>
      <c r="F81" s="307"/>
      <c r="G81" s="307"/>
      <c r="H81" s="307"/>
      <c r="I81" s="307"/>
      <c r="J81" s="307"/>
      <c r="K81" s="307"/>
      <c r="L81" s="307"/>
      <c r="M81" s="287"/>
      <c r="N81" s="239"/>
      <c r="O81" s="239"/>
      <c r="P81" s="239"/>
      <c r="Q81" s="239"/>
      <c r="R81" s="239"/>
      <c r="S81" s="239"/>
      <c r="T81" s="239"/>
      <c r="U81" s="239"/>
    </row>
    <row r="82" spans="1:26" s="8" customFormat="1" ht="15.6" x14ac:dyDescent="0.3">
      <c r="A82" s="378"/>
      <c r="B82" s="296"/>
      <c r="C82" s="289" t="s">
        <v>44</v>
      </c>
      <c r="D82" s="297"/>
      <c r="E82" s="297"/>
      <c r="F82" s="298">
        <f>IF('Gårdens info'!D24&gt;0,H316/'Gårdens info'!I24,0)</f>
        <v>39.875</v>
      </c>
      <c r="G82" s="151" t="s">
        <v>14</v>
      </c>
      <c r="H82" s="614">
        <f>IF('Gårdens info'!G24&gt;0,F82/'Gårdens info'!$G$24,0)</f>
        <v>1.6789473684210528E-2</v>
      </c>
      <c r="I82" s="151" t="s">
        <v>6</v>
      </c>
      <c r="J82" s="298">
        <f>F82*'Gårdens info'!D24</f>
        <v>159.5</v>
      </c>
      <c r="K82" s="151" t="s">
        <v>491</v>
      </c>
      <c r="L82" s="297"/>
      <c r="M82" s="300"/>
      <c r="Y82" s="239"/>
      <c r="Z82" s="239"/>
    </row>
    <row r="83" spans="1:26" s="8" customFormat="1" ht="21" x14ac:dyDescent="0.4">
      <c r="A83" s="378"/>
      <c r="B83" s="932" t="s">
        <v>230</v>
      </c>
      <c r="C83" s="933"/>
      <c r="D83" s="933"/>
      <c r="E83" s="324"/>
      <c r="F83" s="328">
        <f>F76+F79+F82</f>
        <v>2177.71875</v>
      </c>
      <c r="G83" s="329" t="s">
        <v>14</v>
      </c>
      <c r="H83" s="618">
        <f>H76+H79+H82</f>
        <v>0.91693421052631585</v>
      </c>
      <c r="I83" s="329" t="s">
        <v>6</v>
      </c>
      <c r="J83" s="331">
        <f>J76+J79+J82</f>
        <v>8710.875</v>
      </c>
      <c r="K83" s="329" t="s">
        <v>491</v>
      </c>
      <c r="L83" s="329"/>
      <c r="M83" s="321"/>
    </row>
    <row r="84" spans="1:26" s="8" customFormat="1" ht="21" x14ac:dyDescent="0.4">
      <c r="A84" s="378"/>
      <c r="B84" s="689"/>
      <c r="C84" s="690"/>
      <c r="D84" s="690"/>
      <c r="E84" s="324"/>
      <c r="F84" s="328"/>
      <c r="G84" s="329"/>
      <c r="H84" s="618"/>
      <c r="I84" s="329"/>
      <c r="J84" s="331"/>
      <c r="K84" s="329"/>
      <c r="L84" s="329"/>
      <c r="M84" s="321"/>
    </row>
    <row r="85" spans="1:26" s="8" customFormat="1" ht="21" x14ac:dyDescent="0.4">
      <c r="A85" s="378"/>
      <c r="B85" s="932" t="s">
        <v>268</v>
      </c>
      <c r="C85" s="933"/>
      <c r="D85" s="933"/>
      <c r="E85" s="324"/>
      <c r="F85" s="328">
        <f>F43+F72+F83</f>
        <v>41660.564664462087</v>
      </c>
      <c r="G85" s="329" t="s">
        <v>14</v>
      </c>
      <c r="H85" s="705">
        <f>H43+H72+H83</f>
        <v>17.541290385036667</v>
      </c>
      <c r="I85" s="329" t="s">
        <v>6</v>
      </c>
      <c r="J85" s="328">
        <f>J43+J72+J83</f>
        <v>166642.25865784835</v>
      </c>
      <c r="K85" s="329" t="s">
        <v>491</v>
      </c>
      <c r="L85" s="329"/>
      <c r="M85" s="321"/>
    </row>
    <row r="86" spans="1:26" s="77" customFormat="1" ht="21" x14ac:dyDescent="0.4">
      <c r="A86" s="379"/>
      <c r="B86" s="351"/>
      <c r="C86" s="332"/>
      <c r="D86" s="332"/>
      <c r="E86" s="324"/>
      <c r="F86" s="328"/>
      <c r="G86" s="329"/>
      <c r="H86" s="330"/>
      <c r="I86" s="329"/>
      <c r="J86" s="331"/>
      <c r="K86" s="329"/>
      <c r="L86" s="329"/>
      <c r="M86" s="321"/>
      <c r="N86" s="8"/>
      <c r="O86" s="8"/>
      <c r="P86" s="8"/>
      <c r="Q86" s="8"/>
      <c r="R86" s="8"/>
      <c r="S86" s="8"/>
      <c r="T86" s="8"/>
      <c r="U86" s="8"/>
      <c r="Y86" s="8"/>
      <c r="Z86" s="8"/>
    </row>
    <row r="87" spans="1:26" s="91" customFormat="1" ht="21.6" thickBot="1" x14ac:dyDescent="0.45">
      <c r="A87" s="380"/>
      <c r="B87" s="936" t="s">
        <v>269</v>
      </c>
      <c r="C87" s="937"/>
      <c r="D87" s="937"/>
      <c r="E87" s="315"/>
      <c r="F87" s="355">
        <f>F11-F43-F72-F83</f>
        <v>-18528.06466446209</v>
      </c>
      <c r="G87" s="356" t="s">
        <v>14</v>
      </c>
      <c r="H87" s="621">
        <f>H11-H43-H72-H83</f>
        <v>-7.8012903850366655</v>
      </c>
      <c r="I87" s="356" t="s">
        <v>6</v>
      </c>
      <c r="J87" s="355">
        <f>J11-J43-J72-J83</f>
        <v>-74112.258657848361</v>
      </c>
      <c r="K87" s="356" t="s">
        <v>491</v>
      </c>
      <c r="L87" s="356"/>
      <c r="M87" s="316"/>
      <c r="N87" s="77"/>
      <c r="O87" s="77"/>
      <c r="P87" s="77"/>
      <c r="Q87" s="77"/>
      <c r="R87" s="77"/>
      <c r="S87" s="77"/>
      <c r="T87" s="77"/>
      <c r="U87" s="77"/>
      <c r="Y87" s="8"/>
      <c r="Z87" s="8"/>
    </row>
    <row r="88" spans="1:26" s="8" customFormat="1" ht="21.6" thickBot="1" x14ac:dyDescent="0.45">
      <c r="A88" s="378"/>
      <c r="B88" s="546"/>
      <c r="C88" s="534"/>
      <c r="D88" s="534"/>
      <c r="E88" s="534"/>
      <c r="F88" s="534"/>
      <c r="G88" s="534"/>
      <c r="H88" s="534"/>
      <c r="I88" s="534"/>
      <c r="J88" s="534"/>
      <c r="K88" s="534"/>
      <c r="L88" s="534"/>
      <c r="M88" s="534"/>
      <c r="N88" s="91"/>
      <c r="O88" s="91"/>
      <c r="P88" s="91"/>
      <c r="Q88" s="91"/>
      <c r="R88" s="91"/>
      <c r="S88" s="91"/>
      <c r="T88" s="91"/>
      <c r="U88" s="91"/>
      <c r="Y88" s="77"/>
      <c r="Z88" s="77"/>
    </row>
    <row r="89" spans="1:26" s="77" customFormat="1" ht="21.6" thickBot="1" x14ac:dyDescent="0.45">
      <c r="A89" s="379"/>
      <c r="B89" s="977" t="s">
        <v>383</v>
      </c>
      <c r="C89" s="978"/>
      <c r="D89" s="978"/>
      <c r="E89" s="979"/>
      <c r="F89" s="534"/>
      <c r="G89" s="534"/>
      <c r="H89" s="534"/>
      <c r="I89" s="534"/>
      <c r="J89" s="983" t="s">
        <v>271</v>
      </c>
      <c r="K89" s="983"/>
      <c r="L89" s="983"/>
      <c r="M89" s="534"/>
      <c r="N89" s="8"/>
      <c r="O89" s="8"/>
      <c r="P89" s="8"/>
      <c r="Q89" s="8"/>
      <c r="R89" s="8"/>
      <c r="S89" s="8"/>
      <c r="T89" s="8"/>
      <c r="U89" s="8"/>
      <c r="Y89" s="91"/>
      <c r="Z89" s="91"/>
    </row>
    <row r="90" spans="1:26" s="91" customFormat="1" ht="21" x14ac:dyDescent="0.4">
      <c r="A90" s="380"/>
      <c r="B90" s="538"/>
      <c r="C90" s="538"/>
      <c r="D90" s="538"/>
      <c r="E90" s="538"/>
      <c r="F90" s="534"/>
      <c r="G90" s="534"/>
      <c r="H90" s="534"/>
      <c r="I90" s="534"/>
      <c r="J90" s="534"/>
      <c r="K90" s="534"/>
      <c r="L90" s="534"/>
      <c r="M90" s="534"/>
      <c r="N90" s="77"/>
      <c r="O90" s="77"/>
      <c r="P90" s="77"/>
      <c r="Q90" s="77"/>
      <c r="R90" s="77"/>
      <c r="S90" s="77"/>
      <c r="T90" s="77"/>
      <c r="U90" s="77"/>
      <c r="Y90" s="8"/>
      <c r="Z90" s="8"/>
    </row>
    <row r="91" spans="1:26" s="8" customFormat="1" ht="17.399999999999999" x14ac:dyDescent="0.3">
      <c r="A91" s="378"/>
      <c r="B91" s="113" t="s">
        <v>401</v>
      </c>
      <c r="C91" s="65"/>
      <c r="D91" s="65"/>
      <c r="E91" s="65"/>
      <c r="F91" s="959" t="s">
        <v>159</v>
      </c>
      <c r="G91" s="959"/>
      <c r="H91" s="959" t="s">
        <v>158</v>
      </c>
      <c r="I91" s="959"/>
      <c r="J91" s="959" t="s">
        <v>273</v>
      </c>
      <c r="K91" s="959"/>
      <c r="L91" s="143" t="s">
        <v>274</v>
      </c>
      <c r="M91" s="67"/>
      <c r="N91" s="91"/>
      <c r="O91" s="91"/>
      <c r="P91" s="91"/>
      <c r="Q91" s="91"/>
      <c r="R91" s="91"/>
      <c r="S91" s="91"/>
      <c r="T91" s="91"/>
      <c r="U91" s="91"/>
      <c r="Y91" s="77"/>
      <c r="Z91" s="77"/>
    </row>
    <row r="92" spans="1:26" s="77" customFormat="1" ht="18" thickBot="1" x14ac:dyDescent="0.35">
      <c r="A92" s="379"/>
      <c r="B92" s="69"/>
      <c r="C92" s="65"/>
      <c r="D92" s="65"/>
      <c r="E92" s="65"/>
      <c r="F92" s="65"/>
      <c r="G92" s="65"/>
      <c r="H92" s="65"/>
      <c r="I92" s="65"/>
      <c r="J92" s="67"/>
      <c r="K92" s="67"/>
      <c r="L92" s="67"/>
      <c r="M92" s="67"/>
      <c r="N92" s="8"/>
      <c r="O92" s="8"/>
      <c r="P92" s="8"/>
      <c r="Q92" s="8"/>
      <c r="R92" s="8"/>
      <c r="S92" s="8"/>
      <c r="T92" s="8"/>
      <c r="U92" s="8"/>
      <c r="Y92" s="91"/>
      <c r="Z92" s="91"/>
    </row>
    <row r="93" spans="1:26" s="91" customFormat="1" ht="18" thickBot="1" x14ac:dyDescent="0.35">
      <c r="A93" s="380"/>
      <c r="B93" s="65"/>
      <c r="C93" s="66" t="s">
        <v>496</v>
      </c>
      <c r="D93" s="67"/>
      <c r="E93" s="65"/>
      <c r="F93" s="118">
        <v>6000</v>
      </c>
      <c r="G93" s="65" t="s">
        <v>327</v>
      </c>
      <c r="H93" s="95">
        <v>0.65</v>
      </c>
      <c r="I93" s="70" t="s">
        <v>152</v>
      </c>
      <c r="J93" s="235">
        <f>F93*H93</f>
        <v>3900</v>
      </c>
      <c r="K93" s="65" t="s">
        <v>14</v>
      </c>
      <c r="L93" s="65" t="s">
        <v>500</v>
      </c>
      <c r="M93" s="67"/>
      <c r="N93" s="77"/>
      <c r="O93" s="77"/>
      <c r="P93" s="77"/>
      <c r="Q93" s="77"/>
      <c r="R93" s="77"/>
      <c r="S93" s="77"/>
      <c r="T93" s="77"/>
      <c r="U93" s="77"/>
      <c r="Y93" s="8"/>
      <c r="Z93" s="8"/>
    </row>
    <row r="94" spans="1:26" s="77" customFormat="1" ht="15" customHeight="1" thickBot="1" x14ac:dyDescent="0.35">
      <c r="A94" s="379"/>
      <c r="B94" s="65"/>
      <c r="C94" s="65" t="s">
        <v>497</v>
      </c>
      <c r="D94" s="66"/>
      <c r="E94" s="65"/>
      <c r="F94" s="118"/>
      <c r="G94" s="65" t="s">
        <v>327</v>
      </c>
      <c r="H94" s="95"/>
      <c r="I94" s="70" t="s">
        <v>152</v>
      </c>
      <c r="J94" s="235">
        <f t="shared" ref="J94:J97" si="7">F94*H94</f>
        <v>0</v>
      </c>
      <c r="K94" s="65" t="s">
        <v>14</v>
      </c>
      <c r="L94" s="67"/>
      <c r="M94" s="67"/>
      <c r="N94" s="91"/>
      <c r="O94" s="91"/>
      <c r="P94" s="91"/>
      <c r="Q94" s="91"/>
      <c r="R94" s="91"/>
      <c r="S94" s="91"/>
      <c r="T94" s="91"/>
      <c r="U94" s="91"/>
    </row>
    <row r="95" spans="1:26" ht="18" thickBot="1" x14ac:dyDescent="0.35">
      <c r="B95" s="65"/>
      <c r="C95" s="65" t="s">
        <v>497</v>
      </c>
      <c r="D95" s="66"/>
      <c r="E95" s="65"/>
      <c r="F95" s="118"/>
      <c r="G95" s="65" t="s">
        <v>327</v>
      </c>
      <c r="H95" s="95"/>
      <c r="I95" s="70" t="s">
        <v>152</v>
      </c>
      <c r="J95" s="235">
        <f t="shared" si="7"/>
        <v>0</v>
      </c>
      <c r="K95" s="65" t="s">
        <v>14</v>
      </c>
      <c r="L95" s="67"/>
      <c r="M95" s="67"/>
      <c r="N95" s="77"/>
      <c r="O95" s="77"/>
      <c r="P95" s="77"/>
      <c r="Q95" s="77"/>
      <c r="R95" s="77"/>
      <c r="S95" s="77"/>
      <c r="T95" s="77"/>
      <c r="U95" s="77"/>
      <c r="Y95" s="91"/>
      <c r="Z95" s="91"/>
    </row>
    <row r="96" spans="1:26" s="91" customFormat="1" ht="18" thickBot="1" x14ac:dyDescent="0.35">
      <c r="A96" s="380"/>
      <c r="B96" s="65"/>
      <c r="C96" s="65"/>
      <c r="D96" s="71"/>
      <c r="E96" s="65"/>
      <c r="F96" s="65"/>
      <c r="G96" s="65"/>
      <c r="H96" s="70"/>
      <c r="I96" s="70"/>
      <c r="J96" s="235"/>
      <c r="K96" s="65"/>
      <c r="L96" s="67"/>
      <c r="M96" s="67"/>
      <c r="N96"/>
      <c r="O96"/>
      <c r="P96"/>
      <c r="Q96"/>
      <c r="R96"/>
      <c r="S96"/>
      <c r="T96"/>
      <c r="U96"/>
      <c r="Y96" s="77"/>
      <c r="Z96" s="77"/>
    </row>
    <row r="97" spans="1:26" s="8" customFormat="1" ht="15.6" thickBot="1" x14ac:dyDescent="0.3">
      <c r="A97" s="378"/>
      <c r="B97" s="65"/>
      <c r="C97" s="65" t="s">
        <v>498</v>
      </c>
      <c r="D97" s="71"/>
      <c r="E97" s="65"/>
      <c r="F97" s="118">
        <v>20</v>
      </c>
      <c r="G97" s="65" t="s">
        <v>1</v>
      </c>
      <c r="H97" s="99">
        <v>4</v>
      </c>
      <c r="I97" s="70" t="s">
        <v>6</v>
      </c>
      <c r="J97" s="235">
        <f t="shared" si="7"/>
        <v>80</v>
      </c>
      <c r="K97" s="65" t="s">
        <v>14</v>
      </c>
      <c r="L97" s="67"/>
      <c r="M97" s="67"/>
      <c r="N97" s="91"/>
      <c r="O97" s="91"/>
      <c r="P97" s="91"/>
      <c r="Q97" s="91"/>
      <c r="R97" s="91"/>
      <c r="S97" s="91"/>
      <c r="T97" s="91"/>
      <c r="U97" s="91"/>
      <c r="Y97"/>
      <c r="Z97"/>
    </row>
    <row r="98" spans="1:26" s="8" customFormat="1" ht="15.6" thickBot="1" x14ac:dyDescent="0.3">
      <c r="A98" s="378"/>
      <c r="B98" s="65"/>
      <c r="C98" s="65" t="s">
        <v>499</v>
      </c>
      <c r="D98" s="71"/>
      <c r="E98" s="65"/>
      <c r="F98" s="118"/>
      <c r="G98" s="65" t="s">
        <v>1</v>
      </c>
      <c r="H98" s="99"/>
      <c r="I98" s="70" t="s">
        <v>6</v>
      </c>
      <c r="J98" s="235"/>
      <c r="K98" s="65" t="s">
        <v>14</v>
      </c>
      <c r="L98" s="67"/>
      <c r="M98" s="67"/>
      <c r="Y98" s="91"/>
      <c r="Z98" s="91"/>
    </row>
    <row r="99" spans="1:26" s="8" customFormat="1" x14ac:dyDescent="0.25">
      <c r="A99" s="378"/>
      <c r="B99" s="71"/>
      <c r="C99" s="71" t="s">
        <v>196</v>
      </c>
      <c r="D99" s="71"/>
      <c r="E99" s="71"/>
      <c r="F99" s="277"/>
      <c r="G99" s="71"/>
      <c r="H99" s="278"/>
      <c r="I99" s="279"/>
      <c r="J99" s="280">
        <f>SUM(J93:J98)</f>
        <v>3980</v>
      </c>
      <c r="K99" s="71" t="s">
        <v>14</v>
      </c>
      <c r="L99" s="71"/>
      <c r="M99" s="71"/>
    </row>
    <row r="100" spans="1:26" ht="57" customHeight="1" x14ac:dyDescent="0.25">
      <c r="B100" s="65"/>
      <c r="C100" s="65"/>
      <c r="D100" s="71"/>
      <c r="E100" s="65"/>
      <c r="F100" s="68"/>
      <c r="G100" s="65"/>
      <c r="H100" s="70"/>
      <c r="I100" s="70"/>
      <c r="J100" s="67"/>
      <c r="K100" s="65"/>
      <c r="L100" s="67"/>
      <c r="M100" s="67"/>
      <c r="N100" s="8"/>
      <c r="O100" s="8"/>
      <c r="P100" s="8"/>
      <c r="Q100" s="8"/>
      <c r="R100" s="8"/>
      <c r="S100" s="8"/>
      <c r="T100" s="8"/>
      <c r="U100" s="8"/>
      <c r="Y100" s="8"/>
      <c r="Z100" s="8"/>
    </row>
    <row r="101" spans="1:26" ht="22.95" customHeight="1" x14ac:dyDescent="0.25">
      <c r="B101" s="535"/>
      <c r="C101" s="535"/>
      <c r="D101" s="536"/>
      <c r="E101" s="535"/>
      <c r="F101" s="535"/>
      <c r="G101" s="535"/>
      <c r="H101" s="537"/>
      <c r="I101" s="537"/>
      <c r="J101" s="534"/>
      <c r="K101" s="534"/>
      <c r="L101" s="534"/>
      <c r="M101" s="534"/>
      <c r="Y101" s="8"/>
      <c r="Z101" s="8"/>
    </row>
    <row r="102" spans="1:26" ht="28.05" customHeight="1" x14ac:dyDescent="0.3">
      <c r="B102" s="120" t="s">
        <v>501</v>
      </c>
      <c r="C102" s="121"/>
      <c r="D102" s="121"/>
      <c r="E102" s="121"/>
      <c r="F102" s="960" t="s">
        <v>159</v>
      </c>
      <c r="G102" s="960"/>
      <c r="H102" s="960" t="s">
        <v>158</v>
      </c>
      <c r="I102" s="960"/>
      <c r="J102" s="960" t="s">
        <v>273</v>
      </c>
      <c r="K102" s="960"/>
      <c r="L102" s="123"/>
      <c r="M102" s="123"/>
    </row>
    <row r="103" spans="1:26" ht="13.8" thickBot="1" x14ac:dyDescent="0.3">
      <c r="B103" s="121"/>
      <c r="C103" s="121"/>
      <c r="D103" s="121"/>
      <c r="E103" s="121"/>
      <c r="F103" s="121"/>
      <c r="G103" s="121"/>
      <c r="H103" s="122"/>
      <c r="I103" s="122"/>
      <c r="J103" s="123"/>
      <c r="K103" s="123"/>
      <c r="L103" s="123"/>
      <c r="M103" s="123"/>
    </row>
    <row r="104" spans="1:26" ht="13.8" thickBot="1" x14ac:dyDescent="0.3">
      <c r="B104" s="121"/>
      <c r="C104" s="121" t="s">
        <v>408</v>
      </c>
      <c r="D104" s="123"/>
      <c r="E104" s="121"/>
      <c r="F104" s="118">
        <v>200</v>
      </c>
      <c r="G104" s="121" t="s">
        <v>21</v>
      </c>
      <c r="H104" s="99">
        <v>0.95</v>
      </c>
      <c r="I104" s="122" t="s">
        <v>6</v>
      </c>
      <c r="J104" s="234">
        <f>F104*H104</f>
        <v>190</v>
      </c>
      <c r="K104" s="121" t="s">
        <v>14</v>
      </c>
      <c r="L104" s="123"/>
      <c r="M104" s="123"/>
    </row>
    <row r="105" spans="1:26" ht="13.8" thickBot="1" x14ac:dyDescent="0.3">
      <c r="B105" s="121"/>
      <c r="C105" s="121" t="s">
        <v>502</v>
      </c>
      <c r="D105" s="123"/>
      <c r="E105" s="121"/>
      <c r="F105" s="118"/>
      <c r="G105" s="121" t="s">
        <v>55</v>
      </c>
      <c r="H105" s="99">
        <v>13</v>
      </c>
      <c r="I105" s="122" t="s">
        <v>56</v>
      </c>
      <c r="J105" s="234">
        <f t="shared" ref="J105:J107" si="8">F105*H105</f>
        <v>0</v>
      </c>
      <c r="K105" s="121" t="s">
        <v>14</v>
      </c>
      <c r="L105" s="123"/>
      <c r="M105" s="123"/>
    </row>
    <row r="106" spans="1:26" ht="13.8" thickBot="1" x14ac:dyDescent="0.3">
      <c r="B106" s="121"/>
      <c r="C106" s="121" t="s">
        <v>280</v>
      </c>
      <c r="D106" s="121"/>
      <c r="E106" s="121"/>
      <c r="F106" s="96"/>
      <c r="G106" s="121" t="s">
        <v>21</v>
      </c>
      <c r="H106" s="99"/>
      <c r="I106" s="122" t="s">
        <v>6</v>
      </c>
      <c r="J106" s="234">
        <f t="shared" si="8"/>
        <v>0</v>
      </c>
      <c r="K106" s="121" t="s">
        <v>14</v>
      </c>
      <c r="L106" s="123"/>
      <c r="M106" s="123"/>
    </row>
    <row r="107" spans="1:26" ht="13.8" thickBot="1" x14ac:dyDescent="0.3">
      <c r="B107" s="121"/>
      <c r="C107" s="121" t="s">
        <v>280</v>
      </c>
      <c r="D107" s="121"/>
      <c r="E107" s="121"/>
      <c r="F107" s="96"/>
      <c r="G107" s="121" t="s">
        <v>21</v>
      </c>
      <c r="H107" s="98"/>
      <c r="I107" s="122" t="s">
        <v>6</v>
      </c>
      <c r="J107" s="234">
        <f t="shared" si="8"/>
        <v>0</v>
      </c>
      <c r="K107" s="121" t="s">
        <v>14</v>
      </c>
      <c r="L107" s="123"/>
      <c r="M107" s="123"/>
    </row>
    <row r="108" spans="1:26" x14ac:dyDescent="0.25">
      <c r="B108" s="270"/>
      <c r="C108" s="270" t="s">
        <v>196</v>
      </c>
      <c r="D108" s="270"/>
      <c r="E108" s="270"/>
      <c r="F108" s="274"/>
      <c r="G108" s="270"/>
      <c r="H108" s="275"/>
      <c r="I108" s="271"/>
      <c r="J108" s="276">
        <f>SUM(J104:J107)</f>
        <v>190</v>
      </c>
      <c r="K108" s="270" t="s">
        <v>14</v>
      </c>
      <c r="L108" s="270"/>
      <c r="M108" s="270"/>
    </row>
    <row r="109" spans="1:26" x14ac:dyDescent="0.25">
      <c r="B109" s="121"/>
      <c r="C109" s="121"/>
      <c r="D109" s="121"/>
      <c r="E109" s="121"/>
      <c r="F109" s="121"/>
      <c r="G109" s="121"/>
      <c r="H109" s="122"/>
      <c r="I109" s="122"/>
      <c r="J109" s="123"/>
      <c r="K109" s="123"/>
      <c r="L109" s="123"/>
      <c r="M109" s="123"/>
    </row>
    <row r="110" spans="1:26" x14ac:dyDescent="0.25">
      <c r="B110" s="535"/>
      <c r="C110" s="535"/>
      <c r="D110" s="535"/>
      <c r="E110" s="535"/>
      <c r="F110" s="535"/>
      <c r="G110" s="535"/>
      <c r="H110" s="537"/>
      <c r="I110" s="537"/>
      <c r="J110" s="534"/>
      <c r="K110" s="534"/>
      <c r="L110" s="534"/>
      <c r="M110" s="534"/>
    </row>
    <row r="111" spans="1:26" s="8" customFormat="1" ht="15.6" x14ac:dyDescent="0.3">
      <c r="A111" s="378"/>
      <c r="B111" s="109" t="s">
        <v>503</v>
      </c>
      <c r="C111" s="72"/>
      <c r="D111" s="72"/>
      <c r="E111" s="72"/>
      <c r="F111" s="957" t="s">
        <v>159</v>
      </c>
      <c r="G111" s="957"/>
      <c r="H111" s="958" t="s">
        <v>158</v>
      </c>
      <c r="I111" s="958"/>
      <c r="J111" s="957" t="s">
        <v>273</v>
      </c>
      <c r="K111" s="957"/>
      <c r="L111" s="79"/>
      <c r="M111" s="79"/>
      <c r="N111"/>
      <c r="O111"/>
      <c r="P111"/>
      <c r="Q111"/>
      <c r="R111"/>
      <c r="S111"/>
      <c r="T111"/>
      <c r="U111"/>
      <c r="Y111"/>
      <c r="Z111"/>
    </row>
    <row r="112" spans="1:26" ht="15.6" x14ac:dyDescent="0.3">
      <c r="B112" s="109"/>
      <c r="C112" s="72"/>
      <c r="D112" s="462" t="s">
        <v>364</v>
      </c>
      <c r="E112" s="72"/>
      <c r="F112" s="128"/>
      <c r="G112" s="128"/>
      <c r="H112" s="127"/>
      <c r="I112" s="127"/>
      <c r="J112" s="128"/>
      <c r="K112" s="128"/>
      <c r="L112" s="79"/>
      <c r="M112" s="79"/>
      <c r="N112" s="8"/>
      <c r="O112" s="8"/>
      <c r="P112" s="8"/>
      <c r="Q112" s="8"/>
      <c r="R112" s="8"/>
      <c r="S112" s="8"/>
      <c r="T112" s="8"/>
      <c r="U112" s="8"/>
    </row>
    <row r="113" spans="1:26" ht="37.049999999999997" customHeight="1" thickBot="1" x14ac:dyDescent="0.3">
      <c r="B113" s="214" t="s">
        <v>357</v>
      </c>
      <c r="C113" s="72"/>
      <c r="D113" s="72"/>
      <c r="E113" s="72"/>
      <c r="F113" s="74"/>
      <c r="G113" s="74"/>
      <c r="H113" s="73"/>
      <c r="I113" s="73"/>
      <c r="J113" s="79"/>
      <c r="K113" s="79"/>
      <c r="L113" s="79"/>
      <c r="M113" s="79"/>
      <c r="Y113" s="8"/>
      <c r="Z113" s="8"/>
    </row>
    <row r="114" spans="1:26" ht="13.8" thickBot="1" x14ac:dyDescent="0.3">
      <c r="B114" s="72"/>
      <c r="C114" s="72" t="s">
        <v>413</v>
      </c>
      <c r="D114" s="79"/>
      <c r="E114" s="72"/>
      <c r="F114" s="119">
        <v>3.3</v>
      </c>
      <c r="G114" s="74" t="s">
        <v>20</v>
      </c>
      <c r="H114" s="99">
        <v>16.8</v>
      </c>
      <c r="I114" s="73" t="s">
        <v>5</v>
      </c>
      <c r="J114" s="79">
        <f>F114*H114</f>
        <v>55.44</v>
      </c>
      <c r="K114" s="72" t="s">
        <v>14</v>
      </c>
      <c r="L114" s="79"/>
      <c r="M114" s="79"/>
    </row>
    <row r="115" spans="1:26" ht="13.8" thickBot="1" x14ac:dyDescent="0.3">
      <c r="B115" s="72"/>
      <c r="C115" s="72" t="s">
        <v>504</v>
      </c>
      <c r="D115" s="72"/>
      <c r="E115" s="72"/>
      <c r="F115" s="119"/>
      <c r="G115" s="74" t="s">
        <v>20</v>
      </c>
      <c r="H115" s="99"/>
      <c r="I115" s="73" t="s">
        <v>5</v>
      </c>
      <c r="J115" s="79">
        <f t="shared" ref="J115:J121" si="9">F115*H115</f>
        <v>0</v>
      </c>
      <c r="K115" s="72" t="s">
        <v>14</v>
      </c>
      <c r="L115" s="79"/>
      <c r="M115" s="79"/>
    </row>
    <row r="116" spans="1:26" ht="13.8" thickBot="1" x14ac:dyDescent="0.3">
      <c r="B116" s="72"/>
      <c r="C116" s="72" t="s">
        <v>504</v>
      </c>
      <c r="D116" s="72"/>
      <c r="E116" s="72"/>
      <c r="F116" s="119"/>
      <c r="G116" s="74" t="s">
        <v>20</v>
      </c>
      <c r="H116" s="99"/>
      <c r="I116" s="73" t="s">
        <v>5</v>
      </c>
      <c r="J116" s="79">
        <f t="shared" si="9"/>
        <v>0</v>
      </c>
      <c r="K116" s="72" t="s">
        <v>14</v>
      </c>
      <c r="L116" s="79"/>
      <c r="M116" s="79"/>
    </row>
    <row r="117" spans="1:26" x14ac:dyDescent="0.25">
      <c r="B117" s="72"/>
      <c r="C117" s="72"/>
      <c r="D117" s="72"/>
      <c r="E117" s="72"/>
      <c r="F117" s="212"/>
      <c r="G117" s="74"/>
      <c r="H117" s="213"/>
      <c r="I117" s="73"/>
      <c r="J117" s="79"/>
      <c r="K117" s="72"/>
      <c r="L117" s="79"/>
      <c r="M117" s="79"/>
    </row>
    <row r="118" spans="1:26" ht="13.8" thickBot="1" x14ac:dyDescent="0.3">
      <c r="B118" s="214" t="s">
        <v>358</v>
      </c>
      <c r="C118" s="72"/>
      <c r="D118" s="72"/>
      <c r="E118" s="72"/>
      <c r="F118" s="212"/>
      <c r="G118" s="74"/>
      <c r="H118" s="213"/>
      <c r="I118" s="73"/>
      <c r="J118" s="79"/>
      <c r="K118" s="72"/>
      <c r="L118" s="79"/>
      <c r="M118" s="79"/>
    </row>
    <row r="119" spans="1:26" ht="13.8" thickBot="1" x14ac:dyDescent="0.3">
      <c r="B119" s="72"/>
      <c r="C119" s="72" t="s">
        <v>504</v>
      </c>
      <c r="D119" s="72"/>
      <c r="E119" s="72"/>
      <c r="F119" s="119"/>
      <c r="G119" s="74"/>
      <c r="H119" s="119"/>
      <c r="I119" s="73"/>
      <c r="J119" s="79">
        <f t="shared" si="9"/>
        <v>0</v>
      </c>
      <c r="K119" s="72" t="s">
        <v>14</v>
      </c>
      <c r="L119" s="79"/>
      <c r="M119" s="79"/>
    </row>
    <row r="120" spans="1:26" s="8" customFormat="1" ht="13.8" thickBot="1" x14ac:dyDescent="0.3">
      <c r="A120" s="378"/>
      <c r="B120" s="72"/>
      <c r="C120" s="72" t="s">
        <v>504</v>
      </c>
      <c r="D120" s="72"/>
      <c r="E120" s="72"/>
      <c r="F120" s="119"/>
      <c r="G120" s="74"/>
      <c r="H120" s="119"/>
      <c r="I120" s="73"/>
      <c r="J120" s="79">
        <f t="shared" si="9"/>
        <v>0</v>
      </c>
      <c r="K120" s="72" t="s">
        <v>14</v>
      </c>
      <c r="L120" s="79"/>
      <c r="M120" s="79"/>
      <c r="N120"/>
      <c r="O120"/>
      <c r="P120"/>
      <c r="Q120"/>
      <c r="R120"/>
      <c r="S120"/>
      <c r="T120"/>
      <c r="U120"/>
      <c r="Y120"/>
      <c r="Z120"/>
    </row>
    <row r="121" spans="1:26" ht="13.8" thickBot="1" x14ac:dyDescent="0.3">
      <c r="B121" s="72"/>
      <c r="C121" s="72" t="s">
        <v>504</v>
      </c>
      <c r="D121" s="72"/>
      <c r="E121" s="72"/>
      <c r="F121" s="119"/>
      <c r="G121" s="74"/>
      <c r="H121" s="119"/>
      <c r="I121" s="73"/>
      <c r="J121" s="79">
        <f t="shared" si="9"/>
        <v>0</v>
      </c>
      <c r="K121" s="72" t="s">
        <v>14</v>
      </c>
      <c r="L121" s="79"/>
      <c r="M121" s="79"/>
      <c r="N121" s="8"/>
      <c r="O121" s="8"/>
      <c r="P121" s="8"/>
      <c r="Q121" s="8"/>
      <c r="R121" s="8"/>
      <c r="S121" s="8"/>
      <c r="T121" s="8"/>
      <c r="U121" s="8"/>
    </row>
    <row r="122" spans="1:26" ht="33" customHeight="1" x14ac:dyDescent="0.25">
      <c r="B122" s="241"/>
      <c r="C122" s="241" t="s">
        <v>16</v>
      </c>
      <c r="D122" s="241"/>
      <c r="E122" s="241"/>
      <c r="F122" s="273"/>
      <c r="G122" s="242"/>
      <c r="H122" s="273"/>
      <c r="I122" s="243"/>
      <c r="J122" s="241">
        <f>SUM(J114:J121)</f>
        <v>55.44</v>
      </c>
      <c r="K122" s="241" t="s">
        <v>14</v>
      </c>
      <c r="L122" s="241"/>
      <c r="M122" s="241"/>
      <c r="Y122" s="8"/>
      <c r="Z122" s="8"/>
    </row>
    <row r="123" spans="1:26" x14ac:dyDescent="0.25">
      <c r="B123" s="72"/>
      <c r="C123" s="72" t="s">
        <v>196</v>
      </c>
      <c r="D123" s="72"/>
      <c r="E123" s="72"/>
      <c r="F123" s="74"/>
      <c r="G123" s="74"/>
      <c r="H123" s="73"/>
      <c r="I123" s="73"/>
      <c r="J123" s="79"/>
      <c r="K123" s="72"/>
      <c r="L123" s="79"/>
      <c r="M123" s="79"/>
    </row>
    <row r="124" spans="1:26" x14ac:dyDescent="0.25">
      <c r="B124" s="535"/>
      <c r="C124" s="535"/>
      <c r="D124" s="535"/>
      <c r="E124" s="535"/>
      <c r="F124" s="539"/>
      <c r="G124" s="539"/>
      <c r="H124" s="537"/>
      <c r="I124" s="537"/>
      <c r="J124" s="534"/>
      <c r="K124" s="535"/>
      <c r="L124" s="534"/>
      <c r="M124" s="534"/>
    </row>
    <row r="125" spans="1:26" ht="15.6" x14ac:dyDescent="0.3">
      <c r="B125" s="219" t="s">
        <v>414</v>
      </c>
      <c r="C125" s="220"/>
      <c r="D125" s="220"/>
      <c r="E125" s="220"/>
      <c r="F125" s="964" t="s">
        <v>159</v>
      </c>
      <c r="G125" s="964"/>
      <c r="H125" s="964" t="s">
        <v>158</v>
      </c>
      <c r="I125" s="964"/>
      <c r="J125" s="964" t="s">
        <v>273</v>
      </c>
      <c r="K125" s="964"/>
      <c r="L125" s="222"/>
      <c r="M125" s="222"/>
    </row>
    <row r="126" spans="1:26" ht="13.8" thickBot="1" x14ac:dyDescent="0.3">
      <c r="B126" s="220"/>
      <c r="C126" s="220"/>
      <c r="D126" s="220"/>
      <c r="E126" s="220"/>
      <c r="F126" s="220"/>
      <c r="G126" s="220"/>
      <c r="H126" s="221"/>
      <c r="I126" s="221"/>
      <c r="J126" s="222"/>
      <c r="K126" s="222"/>
      <c r="L126" s="222"/>
      <c r="M126" s="222"/>
    </row>
    <row r="127" spans="1:26" ht="13.8" thickBot="1" x14ac:dyDescent="0.3">
      <c r="B127" s="220"/>
      <c r="C127" s="220" t="s">
        <v>294</v>
      </c>
      <c r="D127" s="222"/>
      <c r="E127" s="220"/>
      <c r="F127" s="96"/>
      <c r="G127" s="220" t="s">
        <v>0</v>
      </c>
      <c r="H127" s="99"/>
      <c r="I127" s="221" t="s">
        <v>14</v>
      </c>
      <c r="J127" s="223">
        <f t="shared" ref="J127:J129" si="10">F127*H127</f>
        <v>0</v>
      </c>
      <c r="K127" s="220" t="s">
        <v>14</v>
      </c>
      <c r="L127" s="222"/>
      <c r="M127" s="222"/>
    </row>
    <row r="128" spans="1:26" ht="13.8" thickBot="1" x14ac:dyDescent="0.3">
      <c r="B128" s="220"/>
      <c r="C128" s="220" t="s">
        <v>294</v>
      </c>
      <c r="D128" s="220"/>
      <c r="E128" s="220"/>
      <c r="F128" s="96"/>
      <c r="G128" s="220" t="s">
        <v>0</v>
      </c>
      <c r="H128" s="99"/>
      <c r="I128" s="221" t="s">
        <v>14</v>
      </c>
      <c r="J128" s="223">
        <f t="shared" si="10"/>
        <v>0</v>
      </c>
      <c r="K128" s="220" t="s">
        <v>14</v>
      </c>
      <c r="L128" s="222"/>
      <c r="M128" s="222"/>
    </row>
    <row r="129" spans="1:26" ht="13.8" thickBot="1" x14ac:dyDescent="0.3">
      <c r="B129" s="220"/>
      <c r="C129" s="220" t="s">
        <v>294</v>
      </c>
      <c r="D129" s="220"/>
      <c r="E129" s="220"/>
      <c r="F129" s="96"/>
      <c r="G129" s="220" t="s">
        <v>0</v>
      </c>
      <c r="H129" s="99"/>
      <c r="I129" s="221" t="s">
        <v>14</v>
      </c>
      <c r="J129" s="223">
        <f t="shared" si="10"/>
        <v>0</v>
      </c>
      <c r="K129" s="220" t="s">
        <v>14</v>
      </c>
      <c r="L129" s="222"/>
      <c r="M129" s="222"/>
    </row>
    <row r="130" spans="1:26" x14ac:dyDescent="0.25">
      <c r="B130" s="255"/>
      <c r="C130" s="255" t="s">
        <v>196</v>
      </c>
      <c r="D130" s="255"/>
      <c r="E130" s="255"/>
      <c r="F130" s="256"/>
      <c r="G130" s="255"/>
      <c r="H130" s="257"/>
      <c r="I130" s="258"/>
      <c r="J130" s="259">
        <f>SUM(J127:J129)</f>
        <v>0</v>
      </c>
      <c r="K130" s="255" t="s">
        <v>14</v>
      </c>
      <c r="L130" s="255"/>
      <c r="M130" s="255"/>
    </row>
    <row r="131" spans="1:26" x14ac:dyDescent="0.25">
      <c r="B131" s="220"/>
      <c r="C131" s="220"/>
      <c r="D131" s="220"/>
      <c r="E131" s="220"/>
      <c r="F131" s="220"/>
      <c r="G131" s="220"/>
      <c r="H131" s="221"/>
      <c r="I131" s="221"/>
      <c r="J131" s="223"/>
      <c r="K131" s="220"/>
      <c r="L131" s="222"/>
      <c r="M131" s="222"/>
    </row>
    <row r="132" spans="1:26" x14ac:dyDescent="0.25">
      <c r="B132" s="534"/>
      <c r="C132" s="534"/>
      <c r="D132" s="534"/>
      <c r="E132" s="534"/>
      <c r="F132" s="534"/>
      <c r="G132" s="534"/>
      <c r="H132" s="534"/>
      <c r="I132" s="534"/>
      <c r="J132" s="534"/>
      <c r="K132" s="534"/>
      <c r="L132" s="534"/>
      <c r="M132" s="534"/>
    </row>
    <row r="133" spans="1:26" ht="15.6" x14ac:dyDescent="0.3">
      <c r="B133" s="225" t="s">
        <v>45</v>
      </c>
      <c r="C133" s="226"/>
      <c r="D133" s="226"/>
      <c r="E133" s="227"/>
      <c r="F133" s="226" t="s">
        <v>159</v>
      </c>
      <c r="G133" s="228"/>
      <c r="H133" s="228" t="s">
        <v>158</v>
      </c>
      <c r="I133" s="226"/>
      <c r="J133" s="226"/>
      <c r="K133" s="229"/>
      <c r="L133" s="229"/>
      <c r="M133" s="229"/>
    </row>
    <row r="134" spans="1:26" s="8" customFormat="1" ht="16.2" thickBot="1" x14ac:dyDescent="0.35">
      <c r="A134" s="378"/>
      <c r="B134" s="225"/>
      <c r="C134" s="226"/>
      <c r="D134" s="226"/>
      <c r="E134" s="227"/>
      <c r="F134" s="226"/>
      <c r="G134" s="228"/>
      <c r="H134" s="228"/>
      <c r="I134" s="226"/>
      <c r="J134" s="226"/>
      <c r="K134" s="229"/>
      <c r="L134" s="229"/>
      <c r="M134" s="229"/>
      <c r="N134"/>
      <c r="O134"/>
      <c r="P134"/>
      <c r="Q134"/>
      <c r="R134"/>
      <c r="S134"/>
      <c r="T134"/>
      <c r="U134"/>
      <c r="Y134"/>
      <c r="Z134"/>
    </row>
    <row r="135" spans="1:26" ht="13.8" thickBot="1" x14ac:dyDescent="0.3">
      <c r="B135" s="226"/>
      <c r="C135" s="226" t="s">
        <v>296</v>
      </c>
      <c r="D135" s="229"/>
      <c r="E135" s="230"/>
      <c r="F135" s="96"/>
      <c r="G135" s="231" t="s">
        <v>18</v>
      </c>
      <c r="H135" s="96"/>
      <c r="I135" s="232" t="s">
        <v>10</v>
      </c>
      <c r="J135" s="229">
        <f>H135*F135</f>
        <v>0</v>
      </c>
      <c r="K135" s="232" t="s">
        <v>14</v>
      </c>
      <c r="L135" s="229"/>
      <c r="M135" s="229"/>
      <c r="N135" s="8"/>
      <c r="O135" s="8"/>
      <c r="P135" s="8"/>
      <c r="Q135" s="8"/>
      <c r="R135" s="8"/>
      <c r="S135" s="8"/>
      <c r="T135" s="8"/>
      <c r="U135" s="8"/>
    </row>
    <row r="136" spans="1:26" s="5" customFormat="1" ht="13.8" customHeight="1" thickBot="1" x14ac:dyDescent="0.3">
      <c r="A136" s="377"/>
      <c r="B136" s="226"/>
      <c r="C136" s="226" t="s">
        <v>297</v>
      </c>
      <c r="D136" s="232">
        <f>F166/2</f>
        <v>53.75</v>
      </c>
      <c r="E136" s="226" t="s">
        <v>9</v>
      </c>
      <c r="F136" s="96">
        <f>+D136*8</f>
        <v>430</v>
      </c>
      <c r="G136" s="228" t="s">
        <v>20</v>
      </c>
      <c r="H136" s="96">
        <v>0.83</v>
      </c>
      <c r="I136" s="232" t="s">
        <v>5</v>
      </c>
      <c r="J136" s="631">
        <f>H136*F136</f>
        <v>356.9</v>
      </c>
      <c r="K136" s="232" t="s">
        <v>14</v>
      </c>
      <c r="L136" s="229"/>
      <c r="M136" s="229"/>
      <c r="N136"/>
      <c r="O136"/>
      <c r="P136"/>
      <c r="Q136"/>
      <c r="R136"/>
      <c r="S136"/>
      <c r="T136"/>
      <c r="U136"/>
      <c r="Y136" s="8"/>
      <c r="Z136" s="8"/>
    </row>
    <row r="137" spans="1:26" ht="13.8" thickBot="1" x14ac:dyDescent="0.3">
      <c r="B137" s="226"/>
      <c r="C137" s="226" t="s">
        <v>298</v>
      </c>
      <c r="D137" s="232">
        <f>D136</f>
        <v>53.75</v>
      </c>
      <c r="E137" s="226" t="s">
        <v>9</v>
      </c>
      <c r="F137" s="96">
        <v>11.88</v>
      </c>
      <c r="G137" s="228" t="s">
        <v>21</v>
      </c>
      <c r="H137" s="96">
        <v>4</v>
      </c>
      <c r="I137" s="232" t="s">
        <v>6</v>
      </c>
      <c r="J137" s="631">
        <f t="shared" ref="J137:J141" si="11">H137*F137</f>
        <v>47.52</v>
      </c>
      <c r="K137" s="232" t="s">
        <v>14</v>
      </c>
      <c r="L137" s="229"/>
      <c r="M137" s="229"/>
      <c r="N137" s="5"/>
      <c r="O137" s="5"/>
      <c r="P137" s="5"/>
      <c r="Q137" s="5"/>
      <c r="R137" s="5"/>
      <c r="S137" s="5"/>
      <c r="T137" s="5"/>
      <c r="U137" s="5"/>
    </row>
    <row r="138" spans="1:26" ht="13.8" thickBot="1" x14ac:dyDescent="0.3">
      <c r="B138" s="226"/>
      <c r="C138" s="226" t="s">
        <v>19</v>
      </c>
      <c r="D138" s="229"/>
      <c r="E138" s="232"/>
      <c r="F138" s="96">
        <v>200</v>
      </c>
      <c r="G138" s="228" t="s">
        <v>20</v>
      </c>
      <c r="H138" s="96">
        <v>1.53</v>
      </c>
      <c r="I138" s="232" t="s">
        <v>5</v>
      </c>
      <c r="J138" s="631">
        <f t="shared" si="11"/>
        <v>306</v>
      </c>
      <c r="K138" s="232" t="s">
        <v>14</v>
      </c>
      <c r="L138" s="229"/>
      <c r="M138" s="229"/>
      <c r="Y138" s="5"/>
      <c r="Z138" s="5"/>
    </row>
    <row r="139" spans="1:26" ht="13.8" thickBot="1" x14ac:dyDescent="0.3">
      <c r="B139" s="226"/>
      <c r="C139" s="226" t="s">
        <v>299</v>
      </c>
      <c r="D139" s="229"/>
      <c r="E139" s="232"/>
      <c r="F139" s="96">
        <v>1.48</v>
      </c>
      <c r="G139" s="228" t="s">
        <v>20</v>
      </c>
      <c r="H139" s="96">
        <v>1.6</v>
      </c>
      <c r="I139" s="232" t="s">
        <v>5</v>
      </c>
      <c r="J139" s="631">
        <f t="shared" si="11"/>
        <v>2.3679999999999999</v>
      </c>
      <c r="K139" s="232" t="s">
        <v>14</v>
      </c>
      <c r="L139" s="229"/>
      <c r="M139" s="229"/>
    </row>
    <row r="140" spans="1:26" ht="13.8" thickBot="1" x14ac:dyDescent="0.3">
      <c r="B140" s="226"/>
      <c r="C140" s="226" t="s">
        <v>416</v>
      </c>
      <c r="D140" s="229"/>
      <c r="E140" s="232"/>
      <c r="F140" s="96"/>
      <c r="G140" s="228"/>
      <c r="H140" s="96"/>
      <c r="I140" s="232"/>
      <c r="J140" s="631">
        <f t="shared" si="11"/>
        <v>0</v>
      </c>
      <c r="K140" s="232" t="s">
        <v>14</v>
      </c>
      <c r="L140" s="229"/>
      <c r="M140" s="229"/>
    </row>
    <row r="141" spans="1:26" ht="13.8" thickBot="1" x14ac:dyDescent="0.3">
      <c r="B141" s="229"/>
      <c r="C141" s="260" t="s">
        <v>416</v>
      </c>
      <c r="D141" s="229"/>
      <c r="E141" s="229"/>
      <c r="F141" s="96"/>
      <c r="G141" s="229"/>
      <c r="H141" s="96"/>
      <c r="I141" s="229"/>
      <c r="J141" s="631">
        <f t="shared" si="11"/>
        <v>0</v>
      </c>
      <c r="K141" s="232" t="s">
        <v>14</v>
      </c>
      <c r="L141" s="229"/>
      <c r="M141" s="229"/>
    </row>
    <row r="142" spans="1:26" s="8" customFormat="1" x14ac:dyDescent="0.25">
      <c r="A142" s="378"/>
      <c r="B142" s="260"/>
      <c r="C142" s="260" t="s">
        <v>196</v>
      </c>
      <c r="D142" s="260"/>
      <c r="E142" s="260"/>
      <c r="F142" s="261"/>
      <c r="G142" s="260"/>
      <c r="H142" s="261"/>
      <c r="I142" s="260"/>
      <c r="J142" s="262">
        <f>SUM(J135:J141)</f>
        <v>712.78800000000001</v>
      </c>
      <c r="K142" s="262" t="s">
        <v>14</v>
      </c>
      <c r="L142" s="260"/>
      <c r="M142" s="260"/>
      <c r="N142"/>
      <c r="O142"/>
      <c r="P142"/>
      <c r="Q142"/>
      <c r="R142"/>
      <c r="S142"/>
      <c r="T142"/>
      <c r="U142"/>
      <c r="Y142"/>
      <c r="Z142"/>
    </row>
    <row r="143" spans="1:26" x14ac:dyDescent="0.25">
      <c r="B143" s="229"/>
      <c r="C143" s="229"/>
      <c r="D143" s="229"/>
      <c r="E143" s="229"/>
      <c r="F143" s="229"/>
      <c r="G143" s="229"/>
      <c r="H143" s="229"/>
      <c r="I143" s="229"/>
      <c r="J143" s="229"/>
      <c r="K143" s="229"/>
      <c r="L143" s="229"/>
      <c r="M143" s="229"/>
      <c r="N143" s="8"/>
      <c r="O143" s="8"/>
      <c r="P143" s="8"/>
      <c r="Q143" s="8"/>
      <c r="R143" s="8"/>
      <c r="S143" s="8"/>
      <c r="T143" s="8"/>
      <c r="U143" s="8"/>
    </row>
    <row r="144" spans="1:26" ht="33" customHeight="1" x14ac:dyDescent="0.25">
      <c r="B144" s="534"/>
      <c r="C144" s="534"/>
      <c r="D144" s="534"/>
      <c r="E144" s="534"/>
      <c r="F144" s="534"/>
      <c r="G144" s="534"/>
      <c r="H144" s="534"/>
      <c r="I144" s="534"/>
      <c r="J144" s="534"/>
      <c r="K144" s="534"/>
      <c r="L144" s="534"/>
      <c r="M144" s="534"/>
      <c r="Y144" s="8"/>
      <c r="Z144" s="8"/>
    </row>
    <row r="145" spans="1:26" ht="15.6" x14ac:dyDescent="0.3">
      <c r="B145" s="112" t="s">
        <v>417</v>
      </c>
      <c r="C145" s="101"/>
      <c r="D145" s="101"/>
      <c r="E145" s="101"/>
      <c r="F145" s="101"/>
      <c r="G145" s="101"/>
      <c r="H145" s="101"/>
      <c r="I145" s="101"/>
      <c r="J145" s="101"/>
      <c r="K145" s="101"/>
      <c r="L145" s="101"/>
      <c r="M145" s="101"/>
    </row>
    <row r="146" spans="1:26" ht="15.6" x14ac:dyDescent="0.3">
      <c r="B146" s="112"/>
      <c r="C146" s="101"/>
      <c r="D146" s="101"/>
      <c r="E146" s="101"/>
      <c r="F146" s="101"/>
      <c r="G146" s="101"/>
      <c r="H146" s="101"/>
      <c r="I146" s="101"/>
      <c r="J146" s="101"/>
      <c r="K146" s="101"/>
      <c r="L146" s="101"/>
      <c r="M146" s="101"/>
    </row>
    <row r="147" spans="1:26" ht="30" customHeight="1" x14ac:dyDescent="0.25">
      <c r="B147" s="961" t="s">
        <v>302</v>
      </c>
      <c r="C147" s="961"/>
      <c r="D147" s="961"/>
      <c r="E147" s="961"/>
      <c r="F147" s="961"/>
      <c r="G147" s="961"/>
      <c r="H147" s="961"/>
      <c r="I147" s="961"/>
      <c r="J147" s="961"/>
      <c r="K147" s="961"/>
      <c r="L147" s="961"/>
      <c r="M147" s="961"/>
    </row>
    <row r="148" spans="1:26" ht="15.6" x14ac:dyDescent="0.3">
      <c r="B148" s="112"/>
      <c r="C148" s="101"/>
      <c r="D148" s="101"/>
      <c r="E148" s="834"/>
      <c r="F148" s="834"/>
      <c r="G148" s="834"/>
      <c r="H148" s="835"/>
      <c r="I148" s="835"/>
      <c r="J148" s="834"/>
      <c r="K148" s="834"/>
      <c r="L148" s="835"/>
      <c r="M148" s="835"/>
    </row>
    <row r="149" spans="1:26" ht="15.6" x14ac:dyDescent="0.3">
      <c r="B149" s="112"/>
      <c r="C149" s="101"/>
      <c r="D149" s="101"/>
      <c r="E149" s="962" t="s">
        <v>303</v>
      </c>
      <c r="F149" s="962"/>
      <c r="G149" s="962"/>
      <c r="H149" s="963" t="s">
        <v>158</v>
      </c>
      <c r="I149" s="963"/>
      <c r="J149" s="963" t="s">
        <v>304</v>
      </c>
      <c r="K149" s="963"/>
      <c r="L149" s="963" t="s">
        <v>158</v>
      </c>
      <c r="M149" s="963"/>
    </row>
    <row r="150" spans="1:26" ht="15.6" thickBot="1" x14ac:dyDescent="0.3">
      <c r="B150" s="100"/>
      <c r="C150" s="101"/>
      <c r="D150" s="101"/>
      <c r="E150" s="101"/>
      <c r="F150" s="101"/>
      <c r="G150" s="101"/>
      <c r="H150" s="101"/>
      <c r="I150" s="101"/>
      <c r="J150" s="101"/>
      <c r="K150" s="101"/>
      <c r="L150" s="101"/>
      <c r="M150" s="101"/>
    </row>
    <row r="151" spans="1:26" ht="13.8" thickBot="1" x14ac:dyDescent="0.3">
      <c r="B151" s="101"/>
      <c r="C151" s="102" t="s">
        <v>307</v>
      </c>
      <c r="D151" s="101"/>
      <c r="E151" s="101"/>
      <c r="F151" s="115">
        <v>2.5</v>
      </c>
      <c r="G151" s="104" t="s">
        <v>22</v>
      </c>
      <c r="H151" s="117">
        <v>14.5</v>
      </c>
      <c r="I151" s="104" t="s">
        <v>11</v>
      </c>
      <c r="J151" s="116"/>
      <c r="K151" s="104" t="s">
        <v>22</v>
      </c>
      <c r="L151" s="117">
        <v>14.5</v>
      </c>
      <c r="M151" s="104" t="s">
        <v>11</v>
      </c>
    </row>
    <row r="152" spans="1:26" ht="13.8" thickBot="1" x14ac:dyDescent="0.3">
      <c r="B152" s="101"/>
      <c r="C152" s="102" t="s">
        <v>467</v>
      </c>
      <c r="D152" s="101"/>
      <c r="E152" s="101"/>
      <c r="F152" s="115">
        <v>2</v>
      </c>
      <c r="G152" s="104" t="s">
        <v>22</v>
      </c>
      <c r="H152" s="114">
        <f t="shared" ref="H152:H165" si="12">$H$151</f>
        <v>14.5</v>
      </c>
      <c r="I152" s="104" t="s">
        <v>11</v>
      </c>
      <c r="J152" s="116"/>
      <c r="K152" s="104" t="s">
        <v>22</v>
      </c>
      <c r="L152" s="114">
        <f t="shared" ref="L152:L165" si="13">$L$151</f>
        <v>14.5</v>
      </c>
      <c r="M152" s="104" t="s">
        <v>11</v>
      </c>
    </row>
    <row r="153" spans="1:26" ht="13.8" thickBot="1" x14ac:dyDescent="0.3">
      <c r="B153" s="101"/>
      <c r="C153" s="102" t="s">
        <v>323</v>
      </c>
      <c r="D153" s="101"/>
      <c r="E153" s="101"/>
      <c r="F153" s="115">
        <v>1</v>
      </c>
      <c r="G153" s="104" t="s">
        <v>22</v>
      </c>
      <c r="H153" s="114">
        <f t="shared" si="12"/>
        <v>14.5</v>
      </c>
      <c r="I153" s="104" t="s">
        <v>11</v>
      </c>
      <c r="J153" s="116"/>
      <c r="K153" s="104" t="s">
        <v>22</v>
      </c>
      <c r="L153" s="114">
        <f t="shared" si="13"/>
        <v>14.5</v>
      </c>
      <c r="M153" s="104" t="s">
        <v>11</v>
      </c>
    </row>
    <row r="154" spans="1:26" s="8" customFormat="1" ht="13.8" thickBot="1" x14ac:dyDescent="0.3">
      <c r="A154" s="378"/>
      <c r="B154" s="101"/>
      <c r="C154" s="102" t="s">
        <v>430</v>
      </c>
      <c r="D154" s="101"/>
      <c r="E154" s="101"/>
      <c r="F154" s="116">
        <v>2</v>
      </c>
      <c r="G154" s="104" t="s">
        <v>22</v>
      </c>
      <c r="H154" s="114">
        <f t="shared" si="12"/>
        <v>14.5</v>
      </c>
      <c r="I154" s="104" t="s">
        <v>11</v>
      </c>
      <c r="J154" s="116"/>
      <c r="K154" s="104" t="s">
        <v>22</v>
      </c>
      <c r="L154" s="114">
        <f t="shared" si="13"/>
        <v>14.5</v>
      </c>
      <c r="M154" s="104" t="s">
        <v>11</v>
      </c>
      <c r="N154"/>
      <c r="O154"/>
      <c r="P154"/>
      <c r="Q154"/>
      <c r="R154"/>
      <c r="S154"/>
      <c r="T154"/>
      <c r="U154"/>
      <c r="Y154"/>
      <c r="Z154"/>
    </row>
    <row r="155" spans="1:26" ht="13.8" thickBot="1" x14ac:dyDescent="0.3">
      <c r="B155" s="101"/>
      <c r="C155" s="102" t="s">
        <v>505</v>
      </c>
      <c r="D155" s="101"/>
      <c r="E155" s="101"/>
      <c r="F155" s="116"/>
      <c r="G155" s="104" t="s">
        <v>22</v>
      </c>
      <c r="H155" s="114">
        <f t="shared" si="12"/>
        <v>14.5</v>
      </c>
      <c r="I155" s="104" t="s">
        <v>11</v>
      </c>
      <c r="J155" s="116"/>
      <c r="K155" s="104" t="s">
        <v>22</v>
      </c>
      <c r="L155" s="114">
        <f t="shared" si="13"/>
        <v>14.5</v>
      </c>
      <c r="M155" s="104" t="s">
        <v>11</v>
      </c>
      <c r="N155" s="8"/>
      <c r="O155" s="8"/>
      <c r="P155" s="8"/>
      <c r="Q155" s="8"/>
      <c r="R155" s="8"/>
      <c r="S155" s="8"/>
      <c r="T155" s="8"/>
      <c r="U155" s="8"/>
    </row>
    <row r="156" spans="1:26" ht="13.8" thickBot="1" x14ac:dyDescent="0.3">
      <c r="B156" s="101"/>
      <c r="C156" s="102" t="s">
        <v>507</v>
      </c>
      <c r="D156" s="101"/>
      <c r="E156" s="101"/>
      <c r="F156" s="115">
        <v>15</v>
      </c>
      <c r="G156" s="104" t="s">
        <v>22</v>
      </c>
      <c r="H156" s="114">
        <f t="shared" si="12"/>
        <v>14.5</v>
      </c>
      <c r="I156" s="104" t="s">
        <v>11</v>
      </c>
      <c r="J156" s="116">
        <v>15</v>
      </c>
      <c r="K156" s="104" t="s">
        <v>22</v>
      </c>
      <c r="L156" s="114">
        <f t="shared" si="13"/>
        <v>14.5</v>
      </c>
      <c r="M156" s="104" t="s">
        <v>11</v>
      </c>
      <c r="Y156" s="8"/>
      <c r="Z156" s="8"/>
    </row>
    <row r="157" spans="1:26" ht="13.8" thickBot="1" x14ac:dyDescent="0.3">
      <c r="B157" s="101"/>
      <c r="C157" s="102" t="s">
        <v>421</v>
      </c>
      <c r="D157" s="101"/>
      <c r="E157" s="101"/>
      <c r="F157" s="115">
        <v>25</v>
      </c>
      <c r="G157" s="104" t="s">
        <v>22</v>
      </c>
      <c r="H157" s="114">
        <f t="shared" si="12"/>
        <v>14.5</v>
      </c>
      <c r="I157" s="104" t="s">
        <v>11</v>
      </c>
      <c r="J157" s="116">
        <v>25</v>
      </c>
      <c r="K157" s="104" t="s">
        <v>22</v>
      </c>
      <c r="L157" s="114">
        <f t="shared" si="13"/>
        <v>14.5</v>
      </c>
      <c r="M157" s="104" t="s">
        <v>11</v>
      </c>
    </row>
    <row r="158" spans="1:26" ht="13.8" thickBot="1" x14ac:dyDescent="0.3">
      <c r="B158" s="101"/>
      <c r="C158" s="102" t="s">
        <v>506</v>
      </c>
      <c r="D158" s="101"/>
      <c r="E158" s="101"/>
      <c r="F158" s="115">
        <v>6</v>
      </c>
      <c r="G158" s="104" t="s">
        <v>22</v>
      </c>
      <c r="H158" s="114">
        <f t="shared" si="12"/>
        <v>14.5</v>
      </c>
      <c r="I158" s="104" t="s">
        <v>11</v>
      </c>
      <c r="J158" s="116"/>
      <c r="K158" s="104" t="s">
        <v>22</v>
      </c>
      <c r="L158" s="114">
        <f t="shared" si="13"/>
        <v>14.5</v>
      </c>
      <c r="M158" s="104" t="s">
        <v>11</v>
      </c>
    </row>
    <row r="159" spans="1:26" ht="13.8" thickBot="1" x14ac:dyDescent="0.3">
      <c r="B159" s="101"/>
      <c r="C159" s="102" t="s">
        <v>427</v>
      </c>
      <c r="D159" s="101"/>
      <c r="E159" s="101"/>
      <c r="F159" s="115">
        <v>20</v>
      </c>
      <c r="G159" s="104" t="s">
        <v>22</v>
      </c>
      <c r="H159" s="114">
        <f t="shared" si="12"/>
        <v>14.5</v>
      </c>
      <c r="I159" s="104" t="s">
        <v>11</v>
      </c>
      <c r="J159" s="116">
        <v>40</v>
      </c>
      <c r="K159" s="104" t="s">
        <v>22</v>
      </c>
      <c r="L159" s="114">
        <f t="shared" si="13"/>
        <v>14.5</v>
      </c>
      <c r="M159" s="104" t="s">
        <v>11</v>
      </c>
    </row>
    <row r="160" spans="1:26" ht="13.8" thickBot="1" x14ac:dyDescent="0.3">
      <c r="B160" s="101"/>
      <c r="C160" s="102" t="s">
        <v>317</v>
      </c>
      <c r="D160" s="101"/>
      <c r="E160" s="101"/>
      <c r="F160" s="115">
        <v>2</v>
      </c>
      <c r="G160" s="104" t="s">
        <v>22</v>
      </c>
      <c r="H160" s="114">
        <f t="shared" si="12"/>
        <v>14.5</v>
      </c>
      <c r="I160" s="104" t="s">
        <v>11</v>
      </c>
      <c r="J160" s="116"/>
      <c r="K160" s="104" t="s">
        <v>22</v>
      </c>
      <c r="L160" s="114">
        <f t="shared" si="13"/>
        <v>14.5</v>
      </c>
      <c r="M160" s="104" t="s">
        <v>11</v>
      </c>
    </row>
    <row r="161" spans="2:13" ht="13.8" thickBot="1" x14ac:dyDescent="0.3">
      <c r="B161" s="101"/>
      <c r="C161" s="102" t="s">
        <v>489</v>
      </c>
      <c r="D161" s="101"/>
      <c r="E161" s="101"/>
      <c r="F161" s="115">
        <v>20</v>
      </c>
      <c r="G161" s="104" t="s">
        <v>22</v>
      </c>
      <c r="H161" s="114">
        <f t="shared" si="12"/>
        <v>14.5</v>
      </c>
      <c r="I161" s="104" t="s">
        <v>11</v>
      </c>
      <c r="J161" s="116"/>
      <c r="K161" s="104" t="s">
        <v>22</v>
      </c>
      <c r="L161" s="114">
        <f t="shared" si="13"/>
        <v>14.5</v>
      </c>
      <c r="M161" s="104" t="s">
        <v>11</v>
      </c>
    </row>
    <row r="162" spans="2:13" ht="13.8" thickBot="1" x14ac:dyDescent="0.3">
      <c r="B162" s="101"/>
      <c r="C162" s="102" t="s">
        <v>429</v>
      </c>
      <c r="D162" s="101"/>
      <c r="E162" s="101"/>
      <c r="F162" s="116">
        <v>12</v>
      </c>
      <c r="G162" s="104" t="s">
        <v>22</v>
      </c>
      <c r="H162" s="114">
        <f t="shared" si="12"/>
        <v>14.5</v>
      </c>
      <c r="I162" s="104" t="s">
        <v>11</v>
      </c>
      <c r="J162" s="116"/>
      <c r="K162" s="104" t="s">
        <v>22</v>
      </c>
      <c r="L162" s="114">
        <f t="shared" si="13"/>
        <v>14.5</v>
      </c>
      <c r="M162" s="104" t="s">
        <v>11</v>
      </c>
    </row>
    <row r="163" spans="2:13" ht="13.8" thickBot="1" x14ac:dyDescent="0.3">
      <c r="B163" s="101"/>
      <c r="C163" s="102" t="s">
        <v>431</v>
      </c>
      <c r="D163" s="101"/>
      <c r="E163" s="101"/>
      <c r="F163" s="116"/>
      <c r="G163" s="104" t="s">
        <v>22</v>
      </c>
      <c r="H163" s="114">
        <f t="shared" si="12"/>
        <v>14.5</v>
      </c>
      <c r="I163" s="104" t="s">
        <v>11</v>
      </c>
      <c r="J163" s="97"/>
      <c r="K163" s="104" t="s">
        <v>22</v>
      </c>
      <c r="L163" s="114">
        <f t="shared" si="13"/>
        <v>14.5</v>
      </c>
      <c r="M163" s="104" t="s">
        <v>11</v>
      </c>
    </row>
    <row r="164" spans="2:13" ht="13.8" thickBot="1" x14ac:dyDescent="0.3">
      <c r="B164" s="101"/>
      <c r="C164" s="102" t="s">
        <v>431</v>
      </c>
      <c r="D164" s="101"/>
      <c r="E164" s="101"/>
      <c r="F164" s="116"/>
      <c r="G164" s="104" t="s">
        <v>22</v>
      </c>
      <c r="H164" s="114">
        <f t="shared" si="12"/>
        <v>14.5</v>
      </c>
      <c r="I164" s="104" t="s">
        <v>11</v>
      </c>
      <c r="J164" s="97"/>
      <c r="K164" s="104" t="s">
        <v>22</v>
      </c>
      <c r="L164" s="114">
        <f t="shared" si="13"/>
        <v>14.5</v>
      </c>
      <c r="M164" s="104" t="s">
        <v>11</v>
      </c>
    </row>
    <row r="165" spans="2:13" ht="13.8" thickBot="1" x14ac:dyDescent="0.3">
      <c r="B165" s="101"/>
      <c r="C165" s="102" t="s">
        <v>431</v>
      </c>
      <c r="D165" s="103"/>
      <c r="E165" s="103"/>
      <c r="F165" s="97"/>
      <c r="G165" s="104" t="s">
        <v>22</v>
      </c>
      <c r="H165" s="114">
        <f t="shared" si="12"/>
        <v>14.5</v>
      </c>
      <c r="I165" s="104" t="s">
        <v>11</v>
      </c>
      <c r="J165" s="97"/>
      <c r="K165" s="104" t="s">
        <v>22</v>
      </c>
      <c r="L165" s="114">
        <f t="shared" si="13"/>
        <v>14.5</v>
      </c>
      <c r="M165" s="104" t="s">
        <v>11</v>
      </c>
    </row>
    <row r="166" spans="2:13" x14ac:dyDescent="0.25">
      <c r="B166" s="264"/>
      <c r="C166" s="265" t="s">
        <v>196</v>
      </c>
      <c r="D166" s="266"/>
      <c r="E166" s="266"/>
      <c r="F166" s="267">
        <f>SUM(F151:F165)</f>
        <v>107.5</v>
      </c>
      <c r="G166" s="264" t="s">
        <v>22</v>
      </c>
      <c r="H166" s="268">
        <f>F166*H151</f>
        <v>1558.75</v>
      </c>
      <c r="I166" s="264" t="s">
        <v>14</v>
      </c>
      <c r="J166" s="269">
        <f>SUM(J151:J165)</f>
        <v>80</v>
      </c>
      <c r="K166" s="264" t="s">
        <v>22</v>
      </c>
      <c r="L166" s="268">
        <f>J166*L151</f>
        <v>1160</v>
      </c>
      <c r="M166" s="264" t="s">
        <v>14</v>
      </c>
    </row>
    <row r="167" spans="2:13" ht="49.05" customHeight="1" thickBot="1" x14ac:dyDescent="0.3">
      <c r="B167" s="534"/>
      <c r="C167" s="534"/>
      <c r="D167" s="534"/>
      <c r="E167" s="534"/>
      <c r="F167" s="534"/>
      <c r="G167" s="534"/>
      <c r="H167" s="534"/>
      <c r="I167" s="534"/>
      <c r="J167" s="534"/>
      <c r="K167" s="534"/>
      <c r="L167" s="534"/>
      <c r="M167" s="534"/>
    </row>
    <row r="168" spans="2:13" ht="21.6" thickBot="1" x14ac:dyDescent="0.45">
      <c r="B168" s="953" t="s">
        <v>270</v>
      </c>
      <c r="C168" s="954"/>
      <c r="D168" s="954"/>
      <c r="E168" s="955"/>
      <c r="F168" s="534"/>
      <c r="G168" s="534"/>
      <c r="H168" s="534"/>
      <c r="I168" s="534"/>
      <c r="J168" s="856" t="s">
        <v>271</v>
      </c>
      <c r="K168" s="563"/>
      <c r="L168" s="534"/>
      <c r="M168" s="534"/>
    </row>
    <row r="169" spans="2:13" x14ac:dyDescent="0.25">
      <c r="B169" s="534"/>
      <c r="C169" s="534"/>
      <c r="D169" s="534"/>
      <c r="E169" s="534"/>
      <c r="F169" s="534"/>
      <c r="G169" s="534"/>
      <c r="H169" s="534"/>
      <c r="I169" s="534"/>
      <c r="J169" s="534"/>
      <c r="K169" s="534"/>
      <c r="L169" s="534"/>
      <c r="M169" s="534"/>
    </row>
    <row r="170" spans="2:13" ht="15.6" x14ac:dyDescent="0.3">
      <c r="B170" s="120" t="s">
        <v>508</v>
      </c>
      <c r="C170" s="121"/>
      <c r="D170" s="121"/>
      <c r="E170" s="121"/>
      <c r="F170" s="960" t="s">
        <v>159</v>
      </c>
      <c r="G170" s="960"/>
      <c r="H170" s="960" t="s">
        <v>158</v>
      </c>
      <c r="I170" s="960"/>
      <c r="J170" s="960" t="s">
        <v>273</v>
      </c>
      <c r="K170" s="960"/>
      <c r="L170" s="123"/>
      <c r="M170" s="123"/>
    </row>
    <row r="171" spans="2:13" ht="13.8" thickBot="1" x14ac:dyDescent="0.3">
      <c r="B171" s="121"/>
      <c r="C171" s="121"/>
      <c r="D171" s="121"/>
      <c r="E171" s="121"/>
      <c r="F171" s="121"/>
      <c r="G171" s="121"/>
      <c r="H171" s="122"/>
      <c r="I171" s="122"/>
      <c r="J171" s="123"/>
      <c r="K171" s="123"/>
      <c r="L171" s="123"/>
      <c r="M171" s="123"/>
    </row>
    <row r="172" spans="2:13" ht="13.8" thickBot="1" x14ac:dyDescent="0.3">
      <c r="B172" s="121"/>
      <c r="C172" s="121" t="s">
        <v>509</v>
      </c>
      <c r="D172" s="123"/>
      <c r="E172" s="121"/>
      <c r="F172" s="118">
        <v>100</v>
      </c>
      <c r="G172" s="121" t="s">
        <v>21</v>
      </c>
      <c r="H172" s="99">
        <v>1.7</v>
      </c>
      <c r="I172" s="122" t="s">
        <v>6</v>
      </c>
      <c r="J172" s="124">
        <f>F172*H172</f>
        <v>170</v>
      </c>
      <c r="K172" s="121" t="s">
        <v>14</v>
      </c>
      <c r="L172" s="123"/>
      <c r="M172" s="123"/>
    </row>
    <row r="173" spans="2:13" ht="13.8" thickBot="1" x14ac:dyDescent="0.3">
      <c r="B173" s="121"/>
      <c r="C173" s="121" t="s">
        <v>509</v>
      </c>
      <c r="D173" s="123"/>
      <c r="E173" s="121"/>
      <c r="F173" s="118">
        <v>100</v>
      </c>
      <c r="G173" s="121" t="s">
        <v>21</v>
      </c>
      <c r="H173" s="99">
        <v>2.1</v>
      </c>
      <c r="I173" s="122" t="s">
        <v>6</v>
      </c>
      <c r="J173" s="124"/>
      <c r="K173" s="121"/>
      <c r="L173" s="123"/>
      <c r="M173" s="123"/>
    </row>
    <row r="174" spans="2:13" ht="13.8" thickBot="1" x14ac:dyDescent="0.3">
      <c r="B174" s="121"/>
      <c r="C174" s="121" t="s">
        <v>280</v>
      </c>
      <c r="D174" s="123"/>
      <c r="E174" s="121"/>
      <c r="F174" s="118"/>
      <c r="G174" s="121" t="s">
        <v>21</v>
      </c>
      <c r="H174" s="99"/>
      <c r="I174" s="122" t="s">
        <v>6</v>
      </c>
      <c r="J174" s="124">
        <f t="shared" ref="J174:J176" si="14">F174*H174</f>
        <v>0</v>
      </c>
      <c r="K174" s="121" t="s">
        <v>14</v>
      </c>
      <c r="L174" s="123"/>
      <c r="M174" s="123"/>
    </row>
    <row r="175" spans="2:13" ht="13.8" thickBot="1" x14ac:dyDescent="0.3">
      <c r="B175" s="121"/>
      <c r="C175" s="121" t="s">
        <v>280</v>
      </c>
      <c r="D175" s="123"/>
      <c r="E175" s="121"/>
      <c r="F175" s="96"/>
      <c r="G175" s="121" t="s">
        <v>21</v>
      </c>
      <c r="H175" s="99"/>
      <c r="I175" s="122" t="s">
        <v>6</v>
      </c>
      <c r="J175" s="124">
        <f t="shared" si="14"/>
        <v>0</v>
      </c>
      <c r="K175" s="121" t="s">
        <v>14</v>
      </c>
      <c r="L175" s="123"/>
      <c r="M175" s="123"/>
    </row>
    <row r="176" spans="2:13" ht="13.8" thickBot="1" x14ac:dyDescent="0.3">
      <c r="B176" s="121"/>
      <c r="C176" s="121" t="s">
        <v>280</v>
      </c>
      <c r="D176" s="123"/>
      <c r="E176" s="121"/>
      <c r="F176" s="96"/>
      <c r="G176" s="121" t="s">
        <v>21</v>
      </c>
      <c r="H176" s="99"/>
      <c r="I176" s="122" t="s">
        <v>6</v>
      </c>
      <c r="J176" s="124">
        <f t="shared" si="14"/>
        <v>0</v>
      </c>
      <c r="K176" s="121" t="s">
        <v>14</v>
      </c>
      <c r="L176" s="123"/>
      <c r="M176" s="123"/>
    </row>
    <row r="177" spans="1:26" x14ac:dyDescent="0.25">
      <c r="B177" s="270"/>
      <c r="C177" s="270" t="s">
        <v>196</v>
      </c>
      <c r="D177" s="270"/>
      <c r="E177" s="270"/>
      <c r="F177" s="270"/>
      <c r="G177" s="270"/>
      <c r="H177" s="270"/>
      <c r="I177" s="271"/>
      <c r="J177" s="272">
        <f>SUM(J172:J176)</f>
        <v>170</v>
      </c>
      <c r="K177" s="270" t="s">
        <v>14</v>
      </c>
      <c r="L177" s="270"/>
      <c r="M177" s="270"/>
    </row>
    <row r="178" spans="1:26" x14ac:dyDescent="0.25">
      <c r="B178" s="121"/>
      <c r="C178" s="121"/>
      <c r="D178" s="121"/>
      <c r="E178" s="121"/>
      <c r="F178" s="121"/>
      <c r="G178" s="121"/>
      <c r="H178" s="121"/>
      <c r="I178" s="122"/>
      <c r="J178" s="124"/>
      <c r="K178" s="121"/>
      <c r="L178" s="123"/>
      <c r="M178" s="123"/>
    </row>
    <row r="179" spans="1:26" s="8" customFormat="1" x14ac:dyDescent="0.25">
      <c r="A179" s="378"/>
      <c r="B179"/>
      <c r="C179"/>
      <c r="D179"/>
      <c r="E179"/>
      <c r="F179"/>
      <c r="G179"/>
      <c r="H179"/>
      <c r="I179"/>
      <c r="J179"/>
      <c r="K179"/>
      <c r="L179"/>
      <c r="M179"/>
      <c r="N179"/>
      <c r="O179"/>
      <c r="P179"/>
      <c r="Q179"/>
      <c r="R179"/>
      <c r="S179"/>
      <c r="T179"/>
      <c r="U179"/>
      <c r="Y179"/>
      <c r="Z179"/>
    </row>
    <row r="180" spans="1:26" ht="57" customHeight="1" x14ac:dyDescent="0.3">
      <c r="B180" s="109" t="s">
        <v>479</v>
      </c>
      <c r="C180" s="72"/>
      <c r="D180" s="72"/>
      <c r="E180" s="72"/>
      <c r="F180" s="957" t="s">
        <v>159</v>
      </c>
      <c r="G180" s="957"/>
      <c r="H180" s="958" t="s">
        <v>158</v>
      </c>
      <c r="I180" s="958"/>
      <c r="J180" s="957" t="s">
        <v>273</v>
      </c>
      <c r="K180" s="957"/>
      <c r="L180" s="79"/>
      <c r="M180" s="79"/>
      <c r="N180" s="8"/>
      <c r="O180" s="8"/>
      <c r="P180" s="8"/>
      <c r="Q180" s="8"/>
      <c r="R180" s="8"/>
      <c r="S180" s="8"/>
      <c r="T180" s="8"/>
      <c r="U180" s="8"/>
    </row>
    <row r="181" spans="1:26" ht="21" customHeight="1" x14ac:dyDescent="0.3">
      <c r="B181" s="109"/>
      <c r="C181" s="72"/>
      <c r="D181" s="462" t="s">
        <v>364</v>
      </c>
      <c r="E181" s="72"/>
      <c r="F181" s="128"/>
      <c r="G181" s="128"/>
      <c r="H181" s="127"/>
      <c r="I181" s="127"/>
      <c r="J181" s="128"/>
      <c r="K181" s="128"/>
      <c r="L181" s="79"/>
      <c r="M181" s="79"/>
      <c r="Y181" s="8"/>
      <c r="Z181" s="8"/>
    </row>
    <row r="182" spans="1:26" ht="13.8" thickBot="1" x14ac:dyDescent="0.3">
      <c r="B182" s="214" t="s">
        <v>357</v>
      </c>
      <c r="C182" s="72"/>
      <c r="D182" s="72"/>
      <c r="E182" s="72"/>
      <c r="F182" s="74"/>
      <c r="G182" s="74"/>
      <c r="H182" s="73"/>
      <c r="I182" s="73"/>
      <c r="J182" s="79"/>
      <c r="K182" s="79"/>
      <c r="L182" s="79"/>
      <c r="M182" s="79"/>
    </row>
    <row r="183" spans="1:26" ht="13.8" thickBot="1" x14ac:dyDescent="0.3">
      <c r="B183" s="72"/>
      <c r="C183" s="72" t="s">
        <v>80</v>
      </c>
      <c r="D183" s="79"/>
      <c r="E183" s="72"/>
      <c r="F183" s="119">
        <v>0.25</v>
      </c>
      <c r="G183" s="74" t="s">
        <v>20</v>
      </c>
      <c r="H183" s="99">
        <v>39.200000000000003</v>
      </c>
      <c r="I183" s="73" t="s">
        <v>5</v>
      </c>
      <c r="J183" s="79">
        <f t="shared" ref="J183:J185" si="15">F183*H183</f>
        <v>9.8000000000000007</v>
      </c>
      <c r="K183" s="72" t="s">
        <v>14</v>
      </c>
      <c r="L183" s="79"/>
      <c r="M183" s="79"/>
    </row>
    <row r="184" spans="1:26" ht="13.8" thickBot="1" x14ac:dyDescent="0.3">
      <c r="B184" s="72"/>
      <c r="C184" s="72" t="s">
        <v>81</v>
      </c>
      <c r="D184" s="79"/>
      <c r="E184" s="72"/>
      <c r="F184" s="119">
        <v>3</v>
      </c>
      <c r="G184" s="74" t="s">
        <v>21</v>
      </c>
      <c r="H184" s="99">
        <v>75</v>
      </c>
      <c r="I184" s="73" t="s">
        <v>6</v>
      </c>
      <c r="J184" s="79">
        <f t="shared" si="15"/>
        <v>225</v>
      </c>
      <c r="K184" s="72" t="s">
        <v>14</v>
      </c>
      <c r="L184" s="79"/>
      <c r="M184" s="79"/>
    </row>
    <row r="185" spans="1:26" ht="13.8" thickBot="1" x14ac:dyDescent="0.3">
      <c r="B185" s="72"/>
      <c r="C185" s="72" t="s">
        <v>82</v>
      </c>
      <c r="D185" s="79"/>
      <c r="E185" s="72"/>
      <c r="F185" s="119">
        <v>2</v>
      </c>
      <c r="G185" s="74" t="s">
        <v>21</v>
      </c>
      <c r="H185" s="99">
        <v>108</v>
      </c>
      <c r="I185" s="73" t="s">
        <v>6</v>
      </c>
      <c r="J185" s="79">
        <f t="shared" si="15"/>
        <v>216</v>
      </c>
      <c r="K185" s="72" t="s">
        <v>14</v>
      </c>
      <c r="L185" s="79"/>
      <c r="M185" s="79"/>
    </row>
    <row r="186" spans="1:26" ht="13.8" thickBot="1" x14ac:dyDescent="0.3">
      <c r="B186" s="72"/>
      <c r="C186" s="72" t="s">
        <v>326</v>
      </c>
      <c r="D186" s="72"/>
      <c r="E186" s="72"/>
      <c r="F186" s="119"/>
      <c r="G186" s="74" t="s">
        <v>20</v>
      </c>
      <c r="H186" s="99"/>
      <c r="I186" s="73" t="s">
        <v>5</v>
      </c>
      <c r="J186" s="79">
        <f t="shared" ref="J186:J192" si="16">F186*H186</f>
        <v>0</v>
      </c>
      <c r="K186" s="72" t="s">
        <v>14</v>
      </c>
      <c r="L186" s="79"/>
      <c r="M186" s="79"/>
    </row>
    <row r="187" spans="1:26" ht="13.8" thickBot="1" x14ac:dyDescent="0.3">
      <c r="B187" s="72"/>
      <c r="C187" s="72" t="s">
        <v>326</v>
      </c>
      <c r="D187" s="72"/>
      <c r="E187" s="72"/>
      <c r="F187" s="119"/>
      <c r="G187" s="74" t="s">
        <v>20</v>
      </c>
      <c r="H187" s="99"/>
      <c r="I187" s="73" t="s">
        <v>5</v>
      </c>
      <c r="J187" s="79">
        <f t="shared" si="16"/>
        <v>0</v>
      </c>
      <c r="K187" s="72" t="s">
        <v>14</v>
      </c>
      <c r="L187" s="79"/>
      <c r="M187" s="79"/>
    </row>
    <row r="188" spans="1:26" x14ac:dyDescent="0.25">
      <c r="B188" s="72"/>
      <c r="C188" s="72"/>
      <c r="D188" s="72"/>
      <c r="E188" s="72"/>
      <c r="F188" s="212"/>
      <c r="G188" s="74"/>
      <c r="H188" s="213"/>
      <c r="I188" s="73"/>
      <c r="J188" s="79"/>
      <c r="K188" s="72"/>
      <c r="L188" s="79"/>
      <c r="M188" s="79"/>
    </row>
    <row r="189" spans="1:26" ht="13.8" thickBot="1" x14ac:dyDescent="0.3">
      <c r="B189" s="214" t="s">
        <v>358</v>
      </c>
      <c r="C189" s="72"/>
      <c r="D189" s="72"/>
      <c r="E189" s="72"/>
      <c r="F189" s="212"/>
      <c r="G189" s="74"/>
      <c r="H189" s="213"/>
      <c r="I189" s="73"/>
      <c r="J189" s="79"/>
      <c r="K189" s="72"/>
      <c r="L189" s="79"/>
      <c r="M189" s="79"/>
    </row>
    <row r="190" spans="1:26" ht="13.8" thickBot="1" x14ac:dyDescent="0.3">
      <c r="B190" s="72"/>
      <c r="C190" s="72" t="s">
        <v>326</v>
      </c>
      <c r="D190" s="72"/>
      <c r="E190" s="72"/>
      <c r="F190" s="119"/>
      <c r="G190" s="74"/>
      <c r="H190" s="119"/>
      <c r="I190" s="73"/>
      <c r="J190" s="79">
        <f t="shared" si="16"/>
        <v>0</v>
      </c>
      <c r="K190" s="72" t="s">
        <v>14</v>
      </c>
      <c r="L190" s="79"/>
      <c r="M190" s="79"/>
    </row>
    <row r="191" spans="1:26" s="8" customFormat="1" ht="13.8" thickBot="1" x14ac:dyDescent="0.3">
      <c r="A191" s="378"/>
      <c r="B191" s="72"/>
      <c r="C191" s="72" t="s">
        <v>326</v>
      </c>
      <c r="D191" s="72"/>
      <c r="E191" s="72"/>
      <c r="F191" s="119"/>
      <c r="G191" s="74"/>
      <c r="H191" s="119"/>
      <c r="I191" s="73"/>
      <c r="J191" s="79">
        <f t="shared" si="16"/>
        <v>0</v>
      </c>
      <c r="K191" s="72" t="s">
        <v>14</v>
      </c>
      <c r="L191" s="79"/>
      <c r="M191" s="79"/>
      <c r="N191"/>
      <c r="O191"/>
      <c r="P191"/>
      <c r="Q191"/>
      <c r="R191"/>
      <c r="S191"/>
      <c r="T191"/>
      <c r="U191"/>
      <c r="Y191"/>
      <c r="Z191"/>
    </row>
    <row r="192" spans="1:26" ht="13.8" thickBot="1" x14ac:dyDescent="0.3">
      <c r="B192" s="72"/>
      <c r="C192" s="72" t="s">
        <v>326</v>
      </c>
      <c r="D192" s="72"/>
      <c r="E192" s="72"/>
      <c r="F192" s="119"/>
      <c r="G192" s="74"/>
      <c r="H192" s="119"/>
      <c r="I192" s="73"/>
      <c r="J192" s="79">
        <f t="shared" si="16"/>
        <v>0</v>
      </c>
      <c r="K192" s="72" t="s">
        <v>14</v>
      </c>
      <c r="L192" s="79"/>
      <c r="M192" s="79"/>
      <c r="N192" s="8"/>
      <c r="O192" s="8"/>
      <c r="P192" s="8"/>
      <c r="Q192" s="8"/>
      <c r="R192" s="8"/>
      <c r="S192" s="8"/>
      <c r="T192" s="8"/>
      <c r="U192" s="8"/>
    </row>
    <row r="193" spans="2:26" ht="39" customHeight="1" x14ac:dyDescent="0.25">
      <c r="B193" s="241"/>
      <c r="C193" s="241" t="s">
        <v>196</v>
      </c>
      <c r="D193" s="241"/>
      <c r="E193" s="241"/>
      <c r="F193" s="273"/>
      <c r="G193" s="242"/>
      <c r="H193" s="273"/>
      <c r="I193" s="243"/>
      <c r="J193" s="241">
        <f>SUM(J183:J192)</f>
        <v>450.8</v>
      </c>
      <c r="K193" s="241" t="s">
        <v>14</v>
      </c>
      <c r="L193" s="241"/>
      <c r="M193" s="241"/>
      <c r="Y193" s="8"/>
      <c r="Z193" s="8"/>
    </row>
    <row r="194" spans="2:26" x14ac:dyDescent="0.25">
      <c r="B194" s="72"/>
      <c r="C194" s="72"/>
      <c r="D194" s="72"/>
      <c r="E194" s="72"/>
      <c r="F194" s="74"/>
      <c r="G194" s="74"/>
      <c r="H194" s="73"/>
      <c r="I194" s="73"/>
      <c r="J194" s="79"/>
      <c r="K194" s="72"/>
      <c r="L194" s="79"/>
      <c r="M194" s="79"/>
    </row>
    <row r="195" spans="2:26" ht="19.95" customHeight="1" x14ac:dyDescent="0.25">
      <c r="B195" s="534"/>
      <c r="C195" s="534"/>
      <c r="D195" s="534"/>
      <c r="E195" s="534"/>
      <c r="F195" s="534"/>
      <c r="G195" s="534"/>
      <c r="H195" s="534"/>
      <c r="I195" s="534"/>
      <c r="J195" s="534"/>
      <c r="K195" s="534"/>
      <c r="L195" s="534"/>
      <c r="M195" s="534"/>
    </row>
    <row r="196" spans="2:26" ht="15.6" x14ac:dyDescent="0.3">
      <c r="B196" s="639" t="s">
        <v>437</v>
      </c>
      <c r="C196" s="640"/>
      <c r="D196" s="640"/>
      <c r="E196" s="640"/>
      <c r="F196" s="975" t="s">
        <v>159</v>
      </c>
      <c r="G196" s="975"/>
      <c r="H196" s="975" t="s">
        <v>158</v>
      </c>
      <c r="I196" s="975"/>
      <c r="J196" s="975" t="s">
        <v>273</v>
      </c>
      <c r="K196" s="975"/>
      <c r="L196" s="129"/>
      <c r="M196" s="129"/>
    </row>
    <row r="197" spans="2:26" ht="13.8" thickBot="1" x14ac:dyDescent="0.3">
      <c r="B197" s="640"/>
      <c r="C197" s="640"/>
      <c r="D197" s="640"/>
      <c r="E197" s="640"/>
      <c r="F197" s="640"/>
      <c r="G197" s="640"/>
      <c r="H197" s="641"/>
      <c r="I197" s="641"/>
      <c r="J197" s="129"/>
      <c r="K197" s="129"/>
      <c r="L197" s="129"/>
      <c r="M197" s="129"/>
    </row>
    <row r="198" spans="2:26" ht="13.8" thickBot="1" x14ac:dyDescent="0.3">
      <c r="B198" s="640"/>
      <c r="C198" s="640" t="s">
        <v>438</v>
      </c>
      <c r="D198" s="129"/>
      <c r="E198" s="640"/>
      <c r="F198" s="642">
        <v>4</v>
      </c>
      <c r="G198" s="640" t="s">
        <v>439</v>
      </c>
      <c r="H198" s="643">
        <v>160</v>
      </c>
      <c r="I198" s="641" t="s">
        <v>440</v>
      </c>
      <c r="J198" s="644">
        <f t="shared" ref="J198:J200" si="17">F198*H198</f>
        <v>640</v>
      </c>
      <c r="K198" s="640" t="s">
        <v>14</v>
      </c>
      <c r="L198" s="129"/>
      <c r="M198" s="129"/>
    </row>
    <row r="199" spans="2:26" ht="13.8" thickBot="1" x14ac:dyDescent="0.3">
      <c r="B199" s="640"/>
      <c r="C199" s="640" t="s">
        <v>510</v>
      </c>
      <c r="D199" s="640"/>
      <c r="E199" s="640"/>
      <c r="F199" s="642"/>
      <c r="G199" s="640" t="s">
        <v>0</v>
      </c>
      <c r="H199" s="643"/>
      <c r="I199" s="641" t="s">
        <v>14</v>
      </c>
      <c r="J199" s="644">
        <f t="shared" si="17"/>
        <v>0</v>
      </c>
      <c r="K199" s="640" t="s">
        <v>14</v>
      </c>
      <c r="L199" s="129"/>
      <c r="M199" s="129"/>
    </row>
    <row r="200" spans="2:26" ht="13.8" thickBot="1" x14ac:dyDescent="0.3">
      <c r="B200" s="640"/>
      <c r="C200" s="640" t="s">
        <v>510</v>
      </c>
      <c r="D200" s="640"/>
      <c r="E200" s="640"/>
      <c r="F200" s="642"/>
      <c r="G200" s="640" t="s">
        <v>0</v>
      </c>
      <c r="H200" s="643"/>
      <c r="I200" s="641" t="s">
        <v>14</v>
      </c>
      <c r="J200" s="644">
        <f t="shared" si="17"/>
        <v>0</v>
      </c>
      <c r="K200" s="640" t="s">
        <v>14</v>
      </c>
      <c r="L200" s="129"/>
      <c r="M200" s="129"/>
    </row>
    <row r="201" spans="2:26" x14ac:dyDescent="0.25">
      <c r="B201" s="369"/>
      <c r="C201" s="369" t="s">
        <v>196</v>
      </c>
      <c r="D201" s="369"/>
      <c r="E201" s="369"/>
      <c r="F201" s="645"/>
      <c r="G201" s="369"/>
      <c r="H201" s="646"/>
      <c r="I201" s="647"/>
      <c r="J201" s="648">
        <f>SUM(J198:J200)</f>
        <v>640</v>
      </c>
      <c r="K201" s="369" t="s">
        <v>14</v>
      </c>
      <c r="L201" s="369"/>
      <c r="M201" s="369"/>
    </row>
    <row r="202" spans="2:26" x14ac:dyDescent="0.25">
      <c r="B202" s="640"/>
      <c r="C202" s="640"/>
      <c r="D202" s="640"/>
      <c r="E202" s="640"/>
      <c r="F202" s="640"/>
      <c r="G202" s="640"/>
      <c r="H202" s="641"/>
      <c r="I202" s="641"/>
      <c r="J202" s="644"/>
      <c r="K202" s="640"/>
      <c r="L202" s="129"/>
      <c r="M202" s="129"/>
    </row>
    <row r="203" spans="2:26" ht="22.05" customHeight="1" x14ac:dyDescent="0.25">
      <c r="B203" s="534"/>
      <c r="C203" s="534"/>
      <c r="D203" s="534"/>
      <c r="E203" s="534"/>
      <c r="F203" s="534"/>
      <c r="G203" s="534"/>
      <c r="H203" s="534"/>
      <c r="I203" s="534"/>
      <c r="J203" s="534"/>
      <c r="K203" s="534"/>
      <c r="L203" s="534"/>
      <c r="M203" s="534"/>
    </row>
    <row r="204" spans="2:26" ht="15.6" x14ac:dyDescent="0.3">
      <c r="B204" s="110" t="s">
        <v>481</v>
      </c>
      <c r="C204" s="82"/>
      <c r="D204" s="82"/>
      <c r="E204" s="82"/>
      <c r="F204" s="965" t="s">
        <v>159</v>
      </c>
      <c r="G204" s="965"/>
      <c r="H204" s="965" t="s">
        <v>158</v>
      </c>
      <c r="I204" s="965"/>
      <c r="J204" s="965" t="s">
        <v>273</v>
      </c>
      <c r="K204" s="965"/>
      <c r="L204" s="84"/>
      <c r="M204" s="84"/>
    </row>
    <row r="205" spans="2:26" ht="13.8" thickBot="1" x14ac:dyDescent="0.3">
      <c r="B205" s="82"/>
      <c r="C205" s="82"/>
      <c r="D205" s="82"/>
      <c r="E205" s="82"/>
      <c r="F205" s="82"/>
      <c r="G205" s="82"/>
      <c r="H205" s="83"/>
      <c r="I205" s="83"/>
      <c r="J205" s="84"/>
      <c r="K205" s="84"/>
      <c r="L205" s="84"/>
      <c r="M205" s="84"/>
    </row>
    <row r="206" spans="2:26" ht="13.8" thickBot="1" x14ac:dyDescent="0.3">
      <c r="B206" s="82"/>
      <c r="C206" s="82" t="s">
        <v>442</v>
      </c>
      <c r="D206" s="84"/>
      <c r="E206" s="82"/>
      <c r="F206" s="463">
        <f>IF(S10&gt;0,S10*'Gårdens info'!G24/1,0)</f>
        <v>475</v>
      </c>
      <c r="G206" s="82" t="s">
        <v>153</v>
      </c>
      <c r="H206" s="99">
        <v>0</v>
      </c>
      <c r="I206" s="83" t="s">
        <v>152</v>
      </c>
      <c r="J206" s="85">
        <f>F206*H206</f>
        <v>0</v>
      </c>
      <c r="K206" s="82" t="s">
        <v>14</v>
      </c>
      <c r="L206" s="84"/>
      <c r="M206" s="84"/>
    </row>
    <row r="207" spans="2:26" ht="13.8" thickBot="1" x14ac:dyDescent="0.3">
      <c r="B207" s="82"/>
      <c r="C207" s="82" t="s">
        <v>443</v>
      </c>
      <c r="D207" s="84"/>
      <c r="E207" s="82"/>
      <c r="F207" s="463">
        <f>IF(S11&gt;0,S11*'Gårdens info'!G24/5,0)</f>
        <v>0</v>
      </c>
      <c r="G207" s="82" t="s">
        <v>153</v>
      </c>
      <c r="H207" s="99">
        <v>0.1</v>
      </c>
      <c r="I207" s="83" t="s">
        <v>152</v>
      </c>
      <c r="J207" s="85">
        <f>F207*H207</f>
        <v>0</v>
      </c>
      <c r="K207" s="82" t="s">
        <v>14</v>
      </c>
      <c r="L207" s="84"/>
      <c r="M207" s="84"/>
    </row>
    <row r="208" spans="2:26" ht="13.8" thickBot="1" x14ac:dyDescent="0.3">
      <c r="B208" s="82"/>
      <c r="C208" s="82" t="s">
        <v>444</v>
      </c>
      <c r="D208" s="84"/>
      <c r="E208" s="82"/>
      <c r="F208" s="463">
        <f>IF(S12&gt;0,S12*'Gårdens info'!G24/3,0)</f>
        <v>554.16666666666663</v>
      </c>
      <c r="G208" s="82" t="s">
        <v>153</v>
      </c>
      <c r="H208" s="99">
        <v>0.1</v>
      </c>
      <c r="I208" s="83" t="s">
        <v>152</v>
      </c>
      <c r="J208" s="85">
        <f t="shared" ref="J208:J213" si="18">F208*H208</f>
        <v>55.416666666666664</v>
      </c>
      <c r="K208" s="82" t="s">
        <v>14</v>
      </c>
      <c r="L208" s="84"/>
      <c r="M208" s="84"/>
    </row>
    <row r="209" spans="1:26" ht="13.8" thickBot="1" x14ac:dyDescent="0.3">
      <c r="B209" s="82"/>
      <c r="C209" s="82" t="s">
        <v>445</v>
      </c>
      <c r="D209" s="84"/>
      <c r="E209" s="82"/>
      <c r="F209" s="463">
        <f>IF(S13&gt;0,S13*'Gårdens info'!G24/0.5,0)</f>
        <v>475</v>
      </c>
      <c r="G209" s="82" t="s">
        <v>153</v>
      </c>
      <c r="H209" s="99">
        <v>4.9000000000000002E-2</v>
      </c>
      <c r="I209" s="83" t="s">
        <v>152</v>
      </c>
      <c r="J209" s="85">
        <f t="shared" si="18"/>
        <v>23.275000000000002</v>
      </c>
      <c r="K209" s="82" t="s">
        <v>14</v>
      </c>
      <c r="L209" s="84"/>
      <c r="M209" s="84"/>
    </row>
    <row r="210" spans="1:26" ht="13.8" thickBot="1" x14ac:dyDescent="0.3">
      <c r="B210" s="82"/>
      <c r="C210" s="82" t="s">
        <v>446</v>
      </c>
      <c r="D210" s="84"/>
      <c r="E210" s="82"/>
      <c r="F210" s="463">
        <f>IF(S14&gt;0,S14*'Gårdens info'!G24/0.25,0)</f>
        <v>0</v>
      </c>
      <c r="G210" s="82" t="s">
        <v>153</v>
      </c>
      <c r="H210" s="99">
        <v>0.04</v>
      </c>
      <c r="I210" s="83" t="s">
        <v>152</v>
      </c>
      <c r="J210" s="85">
        <f t="shared" si="18"/>
        <v>0</v>
      </c>
      <c r="K210" s="82" t="s">
        <v>14</v>
      </c>
      <c r="L210" s="84"/>
      <c r="M210" s="84"/>
    </row>
    <row r="211" spans="1:26" ht="13.8" thickBot="1" x14ac:dyDescent="0.3">
      <c r="B211" s="82"/>
      <c r="C211" s="99" t="s">
        <v>511</v>
      </c>
      <c r="D211" s="99"/>
      <c r="E211" s="82" t="s">
        <v>21</v>
      </c>
      <c r="F211" s="463">
        <f>IF(S15&gt;0,S15*'Gårdens info'!G24/D211,0)</f>
        <v>0</v>
      </c>
      <c r="G211" s="82" t="s">
        <v>153</v>
      </c>
      <c r="H211" s="99"/>
      <c r="I211" s="83" t="s">
        <v>152</v>
      </c>
      <c r="J211" s="85">
        <f t="shared" si="18"/>
        <v>0</v>
      </c>
      <c r="K211" s="82" t="s">
        <v>14</v>
      </c>
      <c r="L211" s="84"/>
      <c r="M211" s="84"/>
    </row>
    <row r="212" spans="1:26" ht="13.8" thickBot="1" x14ac:dyDescent="0.3">
      <c r="B212" s="82"/>
      <c r="C212" s="99" t="s">
        <v>511</v>
      </c>
      <c r="D212" s="99"/>
      <c r="E212" s="82" t="s">
        <v>21</v>
      </c>
      <c r="F212" s="463">
        <f>IF(S16&gt;0,S16*'Gårdens info'!G24/D212,0)</f>
        <v>0</v>
      </c>
      <c r="G212" s="82" t="s">
        <v>153</v>
      </c>
      <c r="H212" s="99"/>
      <c r="I212" s="83" t="s">
        <v>152</v>
      </c>
      <c r="J212" s="85">
        <f t="shared" ref="J212" si="19">F212*H212</f>
        <v>0</v>
      </c>
      <c r="K212" s="82" t="s">
        <v>14</v>
      </c>
      <c r="L212" s="84"/>
      <c r="M212" s="84"/>
    </row>
    <row r="213" spans="1:26" ht="13.8" thickBot="1" x14ac:dyDescent="0.3">
      <c r="B213" s="82"/>
      <c r="C213" s="99" t="s">
        <v>511</v>
      </c>
      <c r="D213" s="99"/>
      <c r="E213" s="82" t="s">
        <v>21</v>
      </c>
      <c r="F213" s="463">
        <f>IF(S17&gt;0,S17*'Gårdens info'!G24/D213,0)</f>
        <v>0</v>
      </c>
      <c r="G213" s="82" t="s">
        <v>153</v>
      </c>
      <c r="H213" s="99"/>
      <c r="I213" s="83" t="s">
        <v>152</v>
      </c>
      <c r="J213" s="85">
        <f t="shared" si="18"/>
        <v>0</v>
      </c>
      <c r="K213" s="82" t="s">
        <v>14</v>
      </c>
      <c r="L213" s="84"/>
      <c r="M213" s="84"/>
    </row>
    <row r="214" spans="1:26" s="8" customFormat="1" x14ac:dyDescent="0.25">
      <c r="A214" s="378"/>
      <c r="B214" s="245"/>
      <c r="C214" s="245" t="s">
        <v>196</v>
      </c>
      <c r="D214" s="245"/>
      <c r="E214" s="245"/>
      <c r="F214" s="246"/>
      <c r="G214" s="245"/>
      <c r="H214" s="247"/>
      <c r="I214" s="248"/>
      <c r="J214" s="249">
        <f>SUM(J207:J213)</f>
        <v>78.691666666666663</v>
      </c>
      <c r="K214" s="245" t="s">
        <v>14</v>
      </c>
      <c r="L214" s="245"/>
      <c r="M214" s="245"/>
      <c r="N214"/>
      <c r="O214"/>
      <c r="P214"/>
      <c r="Q214"/>
      <c r="R214"/>
      <c r="S214"/>
      <c r="T214"/>
      <c r="U214"/>
      <c r="Y214"/>
      <c r="Z214"/>
    </row>
    <row r="215" spans="1:26" x14ac:dyDescent="0.25">
      <c r="B215" s="82"/>
      <c r="C215" s="82"/>
      <c r="D215" s="82"/>
      <c r="E215" s="82"/>
      <c r="F215" s="82"/>
      <c r="G215" s="82"/>
      <c r="H215" s="83"/>
      <c r="I215" s="83"/>
      <c r="J215" s="85"/>
      <c r="K215" s="82"/>
      <c r="L215" s="84"/>
      <c r="M215" s="84"/>
      <c r="N215" s="8"/>
      <c r="O215" s="8"/>
      <c r="P215" s="8"/>
      <c r="Q215" s="8"/>
      <c r="R215" s="8"/>
      <c r="S215" s="8"/>
      <c r="T215" s="8"/>
      <c r="U215" s="8"/>
    </row>
    <row r="216" spans="1:26" ht="40.950000000000003" customHeight="1" x14ac:dyDescent="0.25">
      <c r="A216" s="383"/>
      <c r="B216" s="534"/>
      <c r="C216" s="534"/>
      <c r="D216" s="534"/>
      <c r="E216" s="534"/>
      <c r="F216" s="534"/>
      <c r="G216" s="534"/>
      <c r="H216" s="534"/>
      <c r="I216" s="534"/>
      <c r="J216" s="534"/>
      <c r="K216" s="534"/>
      <c r="L216" s="534"/>
      <c r="M216" s="534"/>
      <c r="Y216" s="8"/>
      <c r="Z216" s="8"/>
    </row>
    <row r="217" spans="1:26" ht="15.6" x14ac:dyDescent="0.3">
      <c r="A217" s="383"/>
      <c r="B217" s="111" t="s">
        <v>482</v>
      </c>
      <c r="C217" s="87"/>
      <c r="D217" s="87"/>
      <c r="E217" s="87"/>
      <c r="F217" s="966" t="s">
        <v>159</v>
      </c>
      <c r="G217" s="966"/>
      <c r="H217" s="966" t="s">
        <v>158</v>
      </c>
      <c r="I217" s="966"/>
      <c r="J217" s="966" t="s">
        <v>273</v>
      </c>
      <c r="K217" s="966"/>
      <c r="L217" s="89"/>
      <c r="M217" s="89"/>
      <c r="N217" s="5"/>
    </row>
    <row r="218" spans="1:26" ht="13.8" thickBot="1" x14ac:dyDescent="0.3">
      <c r="A218" s="383"/>
      <c r="B218" s="87"/>
      <c r="C218" s="87"/>
      <c r="D218" s="87"/>
      <c r="E218" s="87"/>
      <c r="F218" s="87"/>
      <c r="G218" s="87"/>
      <c r="H218" s="88"/>
      <c r="I218" s="88"/>
      <c r="J218" s="89"/>
      <c r="K218" s="89"/>
      <c r="L218" s="89"/>
      <c r="M218" s="89"/>
      <c r="N218" s="5"/>
    </row>
    <row r="219" spans="1:26" ht="13.8" thickBot="1" x14ac:dyDescent="0.3">
      <c r="A219" s="383"/>
      <c r="B219" s="87"/>
      <c r="C219" s="87" t="s">
        <v>483</v>
      </c>
      <c r="D219" s="89"/>
      <c r="E219" s="87"/>
      <c r="F219" s="96">
        <f>'Gårdens info'!G24*'Gårdens info'!D24</f>
        <v>9500</v>
      </c>
      <c r="G219" s="87" t="s">
        <v>21</v>
      </c>
      <c r="H219" s="99">
        <v>0.3</v>
      </c>
      <c r="I219" s="88" t="s">
        <v>6</v>
      </c>
      <c r="J219" s="90">
        <f t="shared" ref="J219:J221" si="20">F219*H219</f>
        <v>2850</v>
      </c>
      <c r="K219" s="87" t="s">
        <v>14</v>
      </c>
      <c r="L219" s="89"/>
      <c r="M219" s="89"/>
      <c r="N219" s="5"/>
    </row>
    <row r="220" spans="1:26" ht="13.8" thickBot="1" x14ac:dyDescent="0.3">
      <c r="A220" s="383"/>
      <c r="B220" s="87"/>
      <c r="C220" s="87" t="s">
        <v>510</v>
      </c>
      <c r="D220" s="87"/>
      <c r="E220" s="87"/>
      <c r="F220" s="96"/>
      <c r="G220" s="87" t="s">
        <v>21</v>
      </c>
      <c r="H220" s="99"/>
      <c r="I220" s="88" t="s">
        <v>6</v>
      </c>
      <c r="J220" s="90">
        <f t="shared" si="20"/>
        <v>0</v>
      </c>
      <c r="K220" s="87" t="s">
        <v>14</v>
      </c>
      <c r="L220" s="89"/>
      <c r="M220" s="89"/>
      <c r="N220" s="5"/>
    </row>
    <row r="221" spans="1:26" ht="13.8" thickBot="1" x14ac:dyDescent="0.3">
      <c r="A221" s="383"/>
      <c r="B221" s="87"/>
      <c r="C221" s="87" t="s">
        <v>510</v>
      </c>
      <c r="D221" s="87"/>
      <c r="E221" s="87"/>
      <c r="F221" s="96"/>
      <c r="G221" s="87" t="s">
        <v>21</v>
      </c>
      <c r="H221" s="99"/>
      <c r="I221" s="88" t="s">
        <v>6</v>
      </c>
      <c r="J221" s="90">
        <f t="shared" si="20"/>
        <v>0</v>
      </c>
      <c r="K221" s="87" t="s">
        <v>14</v>
      </c>
      <c r="L221" s="89"/>
      <c r="M221" s="89"/>
      <c r="N221" s="5"/>
    </row>
    <row r="222" spans="1:26" x14ac:dyDescent="0.25">
      <c r="A222" s="383"/>
      <c r="B222" s="250"/>
      <c r="C222" s="250" t="s">
        <v>196</v>
      </c>
      <c r="D222" s="250"/>
      <c r="E222" s="250"/>
      <c r="F222" s="251"/>
      <c r="G222" s="250"/>
      <c r="H222" s="252"/>
      <c r="I222" s="253"/>
      <c r="J222" s="254">
        <f>SUM(J219:J221)</f>
        <v>2850</v>
      </c>
      <c r="K222" s="250" t="s">
        <v>14</v>
      </c>
      <c r="L222" s="250"/>
      <c r="M222" s="250"/>
      <c r="N222" s="5"/>
    </row>
    <row r="223" spans="1:26" x14ac:dyDescent="0.25">
      <c r="A223" s="383"/>
      <c r="B223" s="87"/>
      <c r="C223" s="87"/>
      <c r="D223" s="87"/>
      <c r="E223" s="87"/>
      <c r="F223" s="87"/>
      <c r="G223" s="87"/>
      <c r="H223" s="88"/>
      <c r="I223" s="88"/>
      <c r="J223" s="90"/>
      <c r="K223" s="87"/>
      <c r="L223" s="89"/>
      <c r="M223" s="89"/>
    </row>
    <row r="224" spans="1:26" x14ac:dyDescent="0.25">
      <c r="B224" s="534"/>
      <c r="C224" s="534"/>
      <c r="D224" s="534"/>
      <c r="E224" s="534"/>
      <c r="F224" s="534"/>
      <c r="G224" s="534"/>
      <c r="H224" s="534"/>
      <c r="I224" s="534"/>
      <c r="J224" s="534"/>
      <c r="K224" s="534"/>
      <c r="L224" s="534"/>
      <c r="M224" s="534"/>
    </row>
    <row r="225" spans="1:26" ht="15.6" x14ac:dyDescent="0.3">
      <c r="B225" s="219" t="s">
        <v>512</v>
      </c>
      <c r="C225" s="220"/>
      <c r="D225" s="220"/>
      <c r="E225" s="220"/>
      <c r="F225" s="964" t="s">
        <v>159</v>
      </c>
      <c r="G225" s="964"/>
      <c r="H225" s="964" t="s">
        <v>158</v>
      </c>
      <c r="I225" s="964"/>
      <c r="J225" s="964" t="s">
        <v>273</v>
      </c>
      <c r="K225" s="964"/>
      <c r="L225" s="222"/>
      <c r="M225" s="222"/>
    </row>
    <row r="226" spans="1:26" s="8" customFormat="1" ht="13.8" thickBot="1" x14ac:dyDescent="0.3">
      <c r="A226" s="378"/>
      <c r="B226" s="220"/>
      <c r="C226" s="220"/>
      <c r="D226" s="220"/>
      <c r="E226" s="220"/>
      <c r="F226" s="220"/>
      <c r="G226" s="220"/>
      <c r="H226" s="221"/>
      <c r="I226" s="221"/>
      <c r="J226" s="222"/>
      <c r="K226" s="222"/>
      <c r="L226" s="222"/>
      <c r="M226" s="222"/>
      <c r="N226"/>
      <c r="O226"/>
      <c r="P226"/>
      <c r="Q226"/>
      <c r="R226"/>
      <c r="S226"/>
      <c r="T226"/>
      <c r="U226"/>
      <c r="Y226"/>
      <c r="Z226"/>
    </row>
    <row r="227" spans="1:26" ht="13.8" thickBot="1" x14ac:dyDescent="0.3">
      <c r="B227" s="220"/>
      <c r="C227" s="220" t="s">
        <v>294</v>
      </c>
      <c r="D227" s="222"/>
      <c r="E227" s="220"/>
      <c r="F227" s="96"/>
      <c r="G227" s="220" t="s">
        <v>0</v>
      </c>
      <c r="H227" s="99"/>
      <c r="I227" s="221" t="s">
        <v>14</v>
      </c>
      <c r="J227" s="223">
        <f t="shared" ref="J227:J229" si="21">F227*H227</f>
        <v>0</v>
      </c>
      <c r="K227" s="220" t="s">
        <v>14</v>
      </c>
      <c r="L227" s="222"/>
      <c r="M227" s="222"/>
      <c r="N227" s="8"/>
      <c r="O227" s="8"/>
      <c r="P227" s="8"/>
      <c r="Q227" s="8"/>
      <c r="R227" s="8"/>
      <c r="S227" s="8"/>
      <c r="T227" s="8"/>
      <c r="U227" s="8"/>
    </row>
    <row r="228" spans="1:26" ht="13.8" thickBot="1" x14ac:dyDescent="0.3">
      <c r="B228" s="220"/>
      <c r="C228" s="220" t="s">
        <v>294</v>
      </c>
      <c r="D228" s="220"/>
      <c r="E228" s="220"/>
      <c r="F228" s="96"/>
      <c r="G228" s="220" t="s">
        <v>0</v>
      </c>
      <c r="H228" s="99"/>
      <c r="I228" s="221" t="s">
        <v>14</v>
      </c>
      <c r="J228" s="223">
        <f t="shared" si="21"/>
        <v>0</v>
      </c>
      <c r="K228" s="220" t="s">
        <v>14</v>
      </c>
      <c r="L228" s="222"/>
      <c r="M228" s="222"/>
      <c r="Y228" s="8"/>
      <c r="Z228" s="8"/>
    </row>
    <row r="229" spans="1:26" ht="13.8" thickBot="1" x14ac:dyDescent="0.3">
      <c r="B229" s="220"/>
      <c r="C229" s="220" t="s">
        <v>294</v>
      </c>
      <c r="D229" s="220"/>
      <c r="E229" s="220"/>
      <c r="F229" s="96"/>
      <c r="G229" s="220" t="s">
        <v>0</v>
      </c>
      <c r="H229" s="99"/>
      <c r="I229" s="221" t="s">
        <v>14</v>
      </c>
      <c r="J229" s="223">
        <f t="shared" si="21"/>
        <v>0</v>
      </c>
      <c r="K229" s="220" t="s">
        <v>14</v>
      </c>
      <c r="L229" s="222"/>
      <c r="M229" s="222"/>
    </row>
    <row r="230" spans="1:26" x14ac:dyDescent="0.25">
      <c r="B230" s="255"/>
      <c r="C230" s="255" t="s">
        <v>196</v>
      </c>
      <c r="D230" s="255"/>
      <c r="E230" s="255"/>
      <c r="F230" s="256"/>
      <c r="G230" s="255"/>
      <c r="H230" s="257"/>
      <c r="I230" s="258"/>
      <c r="J230" s="259">
        <f>SUM(J227:J229)</f>
        <v>0</v>
      </c>
      <c r="K230" s="255" t="s">
        <v>14</v>
      </c>
      <c r="L230" s="255"/>
      <c r="M230" s="255"/>
    </row>
    <row r="231" spans="1:26" x14ac:dyDescent="0.25">
      <c r="B231" s="220"/>
      <c r="C231" s="220"/>
      <c r="D231" s="220"/>
      <c r="E231" s="220"/>
      <c r="F231" s="220"/>
      <c r="G231" s="220"/>
      <c r="H231" s="221"/>
      <c r="I231" s="221"/>
      <c r="J231" s="223"/>
      <c r="K231" s="220"/>
      <c r="L231" s="222"/>
      <c r="M231" s="222"/>
    </row>
    <row r="232" spans="1:26" x14ac:dyDescent="0.25">
      <c r="B232" s="534"/>
      <c r="C232" s="534"/>
      <c r="D232" s="534"/>
      <c r="E232" s="534"/>
      <c r="F232" s="534"/>
      <c r="G232" s="534"/>
      <c r="H232" s="534"/>
      <c r="I232" s="534"/>
      <c r="J232" s="534"/>
      <c r="K232" s="534"/>
      <c r="L232" s="534"/>
      <c r="M232" s="534"/>
    </row>
    <row r="233" spans="1:26" ht="15.6" x14ac:dyDescent="0.3">
      <c r="B233" s="225" t="s">
        <v>513</v>
      </c>
      <c r="C233" s="226"/>
      <c r="D233" s="226"/>
      <c r="E233" s="227"/>
      <c r="F233" s="226" t="s">
        <v>159</v>
      </c>
      <c r="G233" s="228"/>
      <c r="H233" s="228" t="s">
        <v>158</v>
      </c>
      <c r="I233" s="226"/>
      <c r="J233" s="226"/>
      <c r="K233" s="229"/>
      <c r="L233" s="229"/>
      <c r="M233" s="229"/>
    </row>
    <row r="234" spans="1:26" s="8" customFormat="1" ht="16.2" thickBot="1" x14ac:dyDescent="0.35">
      <c r="A234" s="378"/>
      <c r="B234" s="225"/>
      <c r="C234" s="226"/>
      <c r="D234" s="226"/>
      <c r="E234" s="227"/>
      <c r="F234" s="226"/>
      <c r="G234" s="228"/>
      <c r="H234" s="228"/>
      <c r="I234" s="226"/>
      <c r="J234" s="226"/>
      <c r="K234" s="229"/>
      <c r="L234" s="229"/>
      <c r="M234" s="229"/>
      <c r="N234"/>
      <c r="O234"/>
      <c r="P234"/>
      <c r="Q234"/>
      <c r="R234"/>
      <c r="S234"/>
      <c r="T234"/>
      <c r="U234"/>
      <c r="Y234"/>
      <c r="Z234"/>
    </row>
    <row r="235" spans="1:26" ht="13.8" thickBot="1" x14ac:dyDescent="0.3">
      <c r="B235" s="226"/>
      <c r="C235" s="226" t="s">
        <v>296</v>
      </c>
      <c r="D235" s="229"/>
      <c r="E235" s="230"/>
      <c r="F235" s="96">
        <v>1000</v>
      </c>
      <c r="G235" s="231" t="s">
        <v>18</v>
      </c>
      <c r="H235" s="96">
        <v>0.15</v>
      </c>
      <c r="I235" s="232" t="s">
        <v>10</v>
      </c>
      <c r="J235" s="632">
        <f>H235*F235</f>
        <v>150</v>
      </c>
      <c r="K235" s="232" t="s">
        <v>14</v>
      </c>
      <c r="L235" s="229"/>
      <c r="M235" s="229"/>
      <c r="N235" s="8"/>
      <c r="O235" s="8"/>
      <c r="P235" s="8"/>
      <c r="Q235" s="8"/>
      <c r="R235" s="8"/>
      <c r="S235" s="8"/>
      <c r="T235" s="8"/>
      <c r="U235" s="8"/>
    </row>
    <row r="236" spans="1:26" ht="13.8" thickBot="1" x14ac:dyDescent="0.3">
      <c r="B236" s="226"/>
      <c r="C236" s="226" t="s">
        <v>464</v>
      </c>
      <c r="D236" s="232">
        <f>F265/2</f>
        <v>67</v>
      </c>
      <c r="E236" s="226" t="s">
        <v>9</v>
      </c>
      <c r="F236" s="96">
        <f>+D236*8</f>
        <v>536</v>
      </c>
      <c r="G236" s="228" t="s">
        <v>20</v>
      </c>
      <c r="H236" s="96">
        <v>0.83</v>
      </c>
      <c r="I236" s="232" t="s">
        <v>5</v>
      </c>
      <c r="J236" s="632">
        <f>H236*F236</f>
        <v>444.88</v>
      </c>
      <c r="K236" s="232" t="s">
        <v>14</v>
      </c>
      <c r="L236" s="229"/>
      <c r="M236" s="229"/>
      <c r="Y236" s="8"/>
      <c r="Z236" s="8"/>
    </row>
    <row r="237" spans="1:26" ht="13.8" thickBot="1" x14ac:dyDescent="0.3">
      <c r="B237" s="226"/>
      <c r="C237" s="226" t="s">
        <v>298</v>
      </c>
      <c r="D237" s="232">
        <f>D236</f>
        <v>67</v>
      </c>
      <c r="E237" s="226" t="s">
        <v>9</v>
      </c>
      <c r="F237" s="96">
        <v>11.88</v>
      </c>
      <c r="G237" s="228" t="s">
        <v>21</v>
      </c>
      <c r="H237" s="96">
        <v>4</v>
      </c>
      <c r="I237" s="232" t="s">
        <v>6</v>
      </c>
      <c r="J237" s="632">
        <f t="shared" ref="J237:J241" si="22">H237*F237</f>
        <v>47.52</v>
      </c>
      <c r="K237" s="232" t="s">
        <v>14</v>
      </c>
      <c r="L237" s="229"/>
      <c r="M237" s="229"/>
    </row>
    <row r="238" spans="1:26" ht="13.8" thickBot="1" x14ac:dyDescent="0.3">
      <c r="B238" s="226"/>
      <c r="C238" s="226" t="s">
        <v>19</v>
      </c>
      <c r="D238" s="229"/>
      <c r="E238" s="232"/>
      <c r="F238" s="96">
        <v>200</v>
      </c>
      <c r="G238" s="228" t="s">
        <v>20</v>
      </c>
      <c r="H238" s="96">
        <v>1.53</v>
      </c>
      <c r="I238" s="232" t="s">
        <v>5</v>
      </c>
      <c r="J238" s="632">
        <f t="shared" si="22"/>
        <v>306</v>
      </c>
      <c r="K238" s="232" t="s">
        <v>14</v>
      </c>
      <c r="L238" s="229"/>
      <c r="M238" s="229"/>
    </row>
    <row r="239" spans="1:26" ht="13.8" thickBot="1" x14ac:dyDescent="0.3">
      <c r="B239" s="226"/>
      <c r="C239" s="226" t="s">
        <v>299</v>
      </c>
      <c r="D239" s="229"/>
      <c r="E239" s="232"/>
      <c r="F239" s="96">
        <v>1.48</v>
      </c>
      <c r="G239" s="228" t="s">
        <v>20</v>
      </c>
      <c r="H239" s="96">
        <v>1.6</v>
      </c>
      <c r="I239" s="232" t="s">
        <v>5</v>
      </c>
      <c r="J239" s="632">
        <f t="shared" si="22"/>
        <v>2.3679999999999999</v>
      </c>
      <c r="K239" s="232" t="s">
        <v>14</v>
      </c>
      <c r="L239" s="229"/>
      <c r="M239" s="229"/>
    </row>
    <row r="240" spans="1:26" ht="13.8" thickBot="1" x14ac:dyDescent="0.3">
      <c r="B240" s="226"/>
      <c r="C240" s="226" t="s">
        <v>300</v>
      </c>
      <c r="D240" s="229"/>
      <c r="E240" s="232"/>
      <c r="F240" s="96"/>
      <c r="G240" s="228"/>
      <c r="H240" s="96"/>
      <c r="I240" s="232"/>
      <c r="J240" s="632">
        <f t="shared" si="22"/>
        <v>0</v>
      </c>
      <c r="K240" s="232" t="s">
        <v>14</v>
      </c>
      <c r="L240" s="229"/>
      <c r="M240" s="229"/>
    </row>
    <row r="241" spans="1:26" ht="13.8" thickBot="1" x14ac:dyDescent="0.3">
      <c r="B241" s="229"/>
      <c r="C241" s="226" t="s">
        <v>300</v>
      </c>
      <c r="D241" s="229"/>
      <c r="E241" s="229"/>
      <c r="F241" s="96"/>
      <c r="G241" s="229"/>
      <c r="H241" s="96"/>
      <c r="I241" s="229"/>
      <c r="J241" s="632">
        <f t="shared" si="22"/>
        <v>0</v>
      </c>
      <c r="K241" s="232" t="s">
        <v>14</v>
      </c>
      <c r="L241" s="229"/>
      <c r="M241" s="229"/>
    </row>
    <row r="242" spans="1:26" s="8" customFormat="1" x14ac:dyDescent="0.25">
      <c r="A242" s="378"/>
      <c r="B242" s="260"/>
      <c r="C242" s="260" t="s">
        <v>196</v>
      </c>
      <c r="D242" s="260"/>
      <c r="E242" s="260"/>
      <c r="F242" s="261"/>
      <c r="G242" s="260"/>
      <c r="H242" s="261"/>
      <c r="I242" s="260"/>
      <c r="J242" s="633">
        <f>SUM(J235:J241)</f>
        <v>950.76800000000003</v>
      </c>
      <c r="K242" s="262" t="s">
        <v>14</v>
      </c>
      <c r="L242" s="260"/>
      <c r="M242" s="260"/>
      <c r="N242"/>
      <c r="O242"/>
      <c r="P242"/>
      <c r="Q242"/>
      <c r="R242"/>
      <c r="S242"/>
      <c r="T242"/>
      <c r="U242"/>
      <c r="Y242"/>
      <c r="Z242"/>
    </row>
    <row r="243" spans="1:26" x14ac:dyDescent="0.25">
      <c r="B243" s="229"/>
      <c r="C243" s="229"/>
      <c r="D243" s="229"/>
      <c r="E243" s="229"/>
      <c r="F243" s="229"/>
      <c r="G243" s="229"/>
      <c r="H243" s="229"/>
      <c r="I243" s="229"/>
      <c r="J243" s="229"/>
      <c r="K243" s="229"/>
      <c r="L243" s="229"/>
      <c r="M243" s="229"/>
      <c r="N243" s="8"/>
      <c r="O243" s="8"/>
      <c r="P243" s="8"/>
      <c r="Q243" s="8"/>
      <c r="R243" s="8"/>
      <c r="S243" s="8"/>
      <c r="T243" s="8"/>
      <c r="U243" s="8"/>
    </row>
    <row r="244" spans="1:26" ht="33" customHeight="1" x14ac:dyDescent="0.25">
      <c r="B244" s="534"/>
      <c r="C244" s="534"/>
      <c r="D244" s="534"/>
      <c r="E244" s="534"/>
      <c r="F244" s="534"/>
      <c r="G244" s="534"/>
      <c r="H244" s="534"/>
      <c r="I244" s="534"/>
      <c r="J244" s="534"/>
      <c r="K244" s="534"/>
      <c r="L244" s="534"/>
      <c r="M244" s="534"/>
      <c r="Y244" s="8"/>
      <c r="Z244" s="8"/>
    </row>
    <row r="245" spans="1:26" ht="15.6" x14ac:dyDescent="0.3">
      <c r="B245" s="112" t="s">
        <v>484</v>
      </c>
      <c r="C245" s="101"/>
      <c r="D245" s="101"/>
      <c r="E245" s="101"/>
      <c r="F245" s="101"/>
      <c r="G245" s="101"/>
      <c r="H245" s="101"/>
      <c r="I245" s="101"/>
      <c r="J245" s="101"/>
      <c r="K245" s="101"/>
      <c r="L245" s="101"/>
      <c r="M245" s="101"/>
    </row>
    <row r="246" spans="1:26" ht="15.6" x14ac:dyDescent="0.3">
      <c r="B246" s="112"/>
      <c r="C246" s="101"/>
      <c r="D246" s="101"/>
      <c r="E246" s="101"/>
      <c r="F246" s="101"/>
      <c r="G246" s="101"/>
      <c r="H246" s="101"/>
      <c r="I246" s="101"/>
      <c r="J246" s="101"/>
      <c r="K246" s="101"/>
      <c r="L246" s="101"/>
      <c r="M246" s="101"/>
    </row>
    <row r="247" spans="1:26" ht="30" customHeight="1" x14ac:dyDescent="0.25">
      <c r="B247" s="961" t="s">
        <v>302</v>
      </c>
      <c r="C247" s="961"/>
      <c r="D247" s="961"/>
      <c r="E247" s="961"/>
      <c r="F247" s="961"/>
      <c r="G247" s="961"/>
      <c r="H247" s="961"/>
      <c r="I247" s="961"/>
      <c r="J247" s="961"/>
      <c r="K247" s="961"/>
      <c r="L247" s="961"/>
      <c r="M247" s="961"/>
    </row>
    <row r="248" spans="1:26" ht="15.6" x14ac:dyDescent="0.3">
      <c r="B248" s="112"/>
      <c r="C248" s="101"/>
      <c r="D248" s="101"/>
      <c r="E248" s="834"/>
      <c r="F248" s="834"/>
      <c r="G248" s="834"/>
      <c r="H248" s="835"/>
      <c r="I248" s="835"/>
      <c r="J248" s="834"/>
      <c r="K248" s="834"/>
      <c r="L248" s="835"/>
      <c r="M248" s="835"/>
    </row>
    <row r="249" spans="1:26" ht="15.6" x14ac:dyDescent="0.3">
      <c r="B249" s="112"/>
      <c r="C249" s="101"/>
      <c r="D249" s="101"/>
      <c r="E249" s="962" t="s">
        <v>303</v>
      </c>
      <c r="F249" s="962"/>
      <c r="G249" s="962"/>
      <c r="H249" s="963" t="s">
        <v>158</v>
      </c>
      <c r="I249" s="963"/>
      <c r="J249" s="963" t="s">
        <v>304</v>
      </c>
      <c r="K249" s="963"/>
      <c r="L249" s="963" t="s">
        <v>158</v>
      </c>
      <c r="M249" s="963"/>
    </row>
    <row r="250" spans="1:26" ht="15.6" thickBot="1" x14ac:dyDescent="0.3">
      <c r="B250" s="100"/>
      <c r="C250" s="101"/>
      <c r="D250" s="101"/>
      <c r="E250" s="101"/>
      <c r="F250" s="101"/>
      <c r="G250" s="101"/>
      <c r="H250" s="101"/>
      <c r="I250" s="101"/>
      <c r="J250" s="101"/>
      <c r="K250" s="101"/>
      <c r="L250" s="101"/>
      <c r="M250" s="101"/>
    </row>
    <row r="251" spans="1:26" ht="13.8" thickBot="1" x14ac:dyDescent="0.3">
      <c r="B251" s="101"/>
      <c r="C251" s="102" t="s">
        <v>323</v>
      </c>
      <c r="D251" s="101"/>
      <c r="E251" s="101"/>
      <c r="F251" s="115">
        <v>1</v>
      </c>
      <c r="G251" s="104" t="s">
        <v>22</v>
      </c>
      <c r="H251" s="114">
        <f t="shared" ref="H251:H264" si="23">$H$151</f>
        <v>14.5</v>
      </c>
      <c r="I251" s="104" t="s">
        <v>11</v>
      </c>
      <c r="J251" s="116"/>
      <c r="K251" s="104" t="s">
        <v>22</v>
      </c>
      <c r="L251" s="114">
        <f t="shared" ref="L251:L264" si="24">$L$151</f>
        <v>14.5</v>
      </c>
      <c r="M251" s="104" t="s">
        <v>11</v>
      </c>
    </row>
    <row r="252" spans="1:26" ht="13.8" thickBot="1" x14ac:dyDescent="0.3">
      <c r="B252" s="101"/>
      <c r="C252" s="102" t="s">
        <v>514</v>
      </c>
      <c r="D252" s="101"/>
      <c r="E252" s="101"/>
      <c r="F252" s="115">
        <v>5</v>
      </c>
      <c r="G252" s="104" t="s">
        <v>22</v>
      </c>
      <c r="H252" s="114">
        <f t="shared" si="23"/>
        <v>14.5</v>
      </c>
      <c r="I252" s="104" t="s">
        <v>11</v>
      </c>
      <c r="J252" s="116">
        <v>10</v>
      </c>
      <c r="K252" s="104" t="s">
        <v>22</v>
      </c>
      <c r="L252" s="114">
        <f t="shared" si="24"/>
        <v>14.5</v>
      </c>
      <c r="M252" s="104" t="s">
        <v>11</v>
      </c>
    </row>
    <row r="253" spans="1:26" ht="13.8" thickBot="1" x14ac:dyDescent="0.3">
      <c r="B253" s="101"/>
      <c r="C253" s="102" t="s">
        <v>317</v>
      </c>
      <c r="D253" s="101"/>
      <c r="E253" s="101"/>
      <c r="F253" s="115">
        <v>4</v>
      </c>
      <c r="G253" s="104" t="s">
        <v>22</v>
      </c>
      <c r="H253" s="114">
        <f t="shared" si="23"/>
        <v>14.5</v>
      </c>
      <c r="I253" s="104" t="s">
        <v>11</v>
      </c>
      <c r="J253" s="116"/>
      <c r="K253" s="104" t="s">
        <v>22</v>
      </c>
      <c r="L253" s="114">
        <f t="shared" si="24"/>
        <v>14.5</v>
      </c>
      <c r="M253" s="104" t="s">
        <v>11</v>
      </c>
    </row>
    <row r="254" spans="1:26" s="8" customFormat="1" ht="13.8" thickBot="1" x14ac:dyDescent="0.3">
      <c r="A254" s="378"/>
      <c r="B254" s="101"/>
      <c r="C254" s="102" t="s">
        <v>132</v>
      </c>
      <c r="D254" s="101"/>
      <c r="E254" s="101"/>
      <c r="F254" s="115"/>
      <c r="G254" s="104" t="s">
        <v>21</v>
      </c>
      <c r="H254" s="115"/>
      <c r="I254" s="104" t="s">
        <v>6</v>
      </c>
      <c r="J254" s="115">
        <f>'Gårdens info'!G24*'Gårdens info'!D24*0.8</f>
        <v>7600</v>
      </c>
      <c r="K254" s="104" t="s">
        <v>21</v>
      </c>
      <c r="L254" s="115">
        <v>4</v>
      </c>
      <c r="M254" s="104" t="s">
        <v>6</v>
      </c>
      <c r="N254"/>
      <c r="O254"/>
      <c r="P254"/>
      <c r="Q254"/>
      <c r="R254"/>
      <c r="S254"/>
      <c r="T254"/>
      <c r="U254"/>
      <c r="Y254"/>
      <c r="Z254"/>
    </row>
    <row r="255" spans="1:26" ht="13.8" thickBot="1" x14ac:dyDescent="0.3">
      <c r="B255" s="101"/>
      <c r="C255" s="102" t="s">
        <v>132</v>
      </c>
      <c r="D255" s="101"/>
      <c r="E255" s="101"/>
      <c r="F255" s="115">
        <v>20</v>
      </c>
      <c r="G255" s="104" t="s">
        <v>22</v>
      </c>
      <c r="H255" s="114">
        <f t="shared" si="23"/>
        <v>14.5</v>
      </c>
      <c r="I255" s="104" t="s">
        <v>11</v>
      </c>
      <c r="J255" s="116"/>
      <c r="K255" s="104" t="s">
        <v>22</v>
      </c>
      <c r="L255" s="114">
        <f t="shared" si="24"/>
        <v>14.5</v>
      </c>
      <c r="M255" s="104" t="s">
        <v>11</v>
      </c>
      <c r="N255" s="8"/>
      <c r="O255" s="8"/>
      <c r="P255" s="8"/>
      <c r="Q255" s="8"/>
      <c r="R255" s="8"/>
      <c r="S255" s="8"/>
      <c r="T255" s="8"/>
      <c r="U255" s="8"/>
    </row>
    <row r="256" spans="1:26" ht="13.8" thickBot="1" x14ac:dyDescent="0.3">
      <c r="B256" s="101"/>
      <c r="C256" s="102" t="s">
        <v>454</v>
      </c>
      <c r="D256" s="101"/>
      <c r="E256" s="101"/>
      <c r="F256" s="115">
        <v>10</v>
      </c>
      <c r="G256" s="104" t="s">
        <v>22</v>
      </c>
      <c r="H256" s="114">
        <f t="shared" si="23"/>
        <v>14.5</v>
      </c>
      <c r="I256" s="104" t="s">
        <v>11</v>
      </c>
      <c r="J256" s="116">
        <v>30</v>
      </c>
      <c r="K256" s="104" t="s">
        <v>22</v>
      </c>
      <c r="L256" s="114">
        <f t="shared" si="24"/>
        <v>14.5</v>
      </c>
      <c r="M256" s="104" t="s">
        <v>11</v>
      </c>
      <c r="Y256" s="8"/>
      <c r="Z256" s="8"/>
    </row>
    <row r="257" spans="2:13" ht="13.8" thickBot="1" x14ac:dyDescent="0.3">
      <c r="B257" s="101"/>
      <c r="C257" s="102" t="s">
        <v>428</v>
      </c>
      <c r="D257" s="101"/>
      <c r="E257" s="101"/>
      <c r="F257" s="115">
        <v>4</v>
      </c>
      <c r="G257" s="104" t="s">
        <v>22</v>
      </c>
      <c r="H257" s="114">
        <f t="shared" si="23"/>
        <v>14.5</v>
      </c>
      <c r="I257" s="104" t="s">
        <v>11</v>
      </c>
      <c r="J257" s="116"/>
      <c r="K257" s="104" t="s">
        <v>22</v>
      </c>
      <c r="L257" s="114">
        <f t="shared" si="24"/>
        <v>14.5</v>
      </c>
      <c r="M257" s="104" t="s">
        <v>11</v>
      </c>
    </row>
    <row r="258" spans="2:13" ht="13.8" thickBot="1" x14ac:dyDescent="0.3">
      <c r="B258" s="101"/>
      <c r="C258" s="102" t="s">
        <v>515</v>
      </c>
      <c r="D258" s="101"/>
      <c r="E258" s="101"/>
      <c r="F258" s="115">
        <v>10</v>
      </c>
      <c r="G258" s="104" t="s">
        <v>22</v>
      </c>
      <c r="H258" s="114">
        <f t="shared" si="23"/>
        <v>14.5</v>
      </c>
      <c r="I258" s="104" t="s">
        <v>11</v>
      </c>
      <c r="J258" s="116"/>
      <c r="K258" s="104" t="s">
        <v>22</v>
      </c>
      <c r="L258" s="114">
        <f t="shared" si="24"/>
        <v>14.5</v>
      </c>
      <c r="M258" s="104" t="s">
        <v>11</v>
      </c>
    </row>
    <row r="259" spans="2:13" ht="13.8" thickBot="1" x14ac:dyDescent="0.3">
      <c r="B259" s="101"/>
      <c r="C259" s="102" t="s">
        <v>429</v>
      </c>
      <c r="D259" s="101"/>
      <c r="E259" s="101"/>
      <c r="F259" s="116">
        <v>20</v>
      </c>
      <c r="G259" s="104" t="s">
        <v>22</v>
      </c>
      <c r="H259" s="114">
        <f t="shared" si="23"/>
        <v>14.5</v>
      </c>
      <c r="I259" s="104" t="s">
        <v>11</v>
      </c>
      <c r="J259" s="116"/>
      <c r="K259" s="104" t="s">
        <v>22</v>
      </c>
      <c r="L259" s="114">
        <f t="shared" si="24"/>
        <v>14.5</v>
      </c>
      <c r="M259" s="104" t="s">
        <v>11</v>
      </c>
    </row>
    <row r="260" spans="2:13" ht="13.8" thickBot="1" x14ac:dyDescent="0.3">
      <c r="B260" s="101"/>
      <c r="C260" s="102" t="s">
        <v>516</v>
      </c>
      <c r="D260" s="101"/>
      <c r="E260" s="101"/>
      <c r="F260" s="116">
        <v>40</v>
      </c>
      <c r="G260" s="104" t="s">
        <v>22</v>
      </c>
      <c r="H260" s="114">
        <f t="shared" si="23"/>
        <v>14.5</v>
      </c>
      <c r="I260" s="104" t="s">
        <v>11</v>
      </c>
      <c r="J260" s="116">
        <v>40</v>
      </c>
      <c r="K260" s="104" t="s">
        <v>22</v>
      </c>
      <c r="L260" s="114">
        <f t="shared" si="24"/>
        <v>14.5</v>
      </c>
      <c r="M260" s="104" t="s">
        <v>11</v>
      </c>
    </row>
    <row r="261" spans="2:13" ht="13.8" thickBot="1" x14ac:dyDescent="0.3">
      <c r="B261" s="101"/>
      <c r="C261" s="102" t="s">
        <v>517</v>
      </c>
      <c r="D261" s="101"/>
      <c r="E261" s="101"/>
      <c r="F261" s="116">
        <v>20</v>
      </c>
      <c r="G261" s="104" t="s">
        <v>22</v>
      </c>
      <c r="H261" s="114">
        <f t="shared" si="23"/>
        <v>14.5</v>
      </c>
      <c r="I261" s="104" t="s">
        <v>11</v>
      </c>
      <c r="J261" s="116"/>
      <c r="K261" s="104" t="s">
        <v>22</v>
      </c>
      <c r="L261" s="114">
        <f t="shared" si="24"/>
        <v>14.5</v>
      </c>
      <c r="M261" s="104" t="s">
        <v>11</v>
      </c>
    </row>
    <row r="262" spans="2:13" ht="13.8" thickBot="1" x14ac:dyDescent="0.3">
      <c r="B262" s="101"/>
      <c r="C262" s="102" t="s">
        <v>431</v>
      </c>
      <c r="D262" s="101"/>
      <c r="E262" s="101"/>
      <c r="F262" s="116"/>
      <c r="G262" s="104" t="s">
        <v>22</v>
      </c>
      <c r="H262" s="114">
        <f t="shared" si="23"/>
        <v>14.5</v>
      </c>
      <c r="I262" s="104" t="s">
        <v>11</v>
      </c>
      <c r="J262" s="97"/>
      <c r="K262" s="104" t="s">
        <v>22</v>
      </c>
      <c r="L262" s="114">
        <f t="shared" si="24"/>
        <v>14.5</v>
      </c>
      <c r="M262" s="104" t="s">
        <v>11</v>
      </c>
    </row>
    <row r="263" spans="2:13" ht="13.8" thickBot="1" x14ac:dyDescent="0.3">
      <c r="B263" s="101"/>
      <c r="C263" s="102" t="s">
        <v>431</v>
      </c>
      <c r="D263" s="101"/>
      <c r="E263" s="101"/>
      <c r="F263" s="116"/>
      <c r="G263" s="104" t="s">
        <v>22</v>
      </c>
      <c r="H263" s="114">
        <f t="shared" si="23"/>
        <v>14.5</v>
      </c>
      <c r="I263" s="104" t="s">
        <v>11</v>
      </c>
      <c r="J263" s="97"/>
      <c r="K263" s="104" t="s">
        <v>22</v>
      </c>
      <c r="L263" s="114">
        <f t="shared" si="24"/>
        <v>14.5</v>
      </c>
      <c r="M263" s="104" t="s">
        <v>11</v>
      </c>
    </row>
    <row r="264" spans="2:13" ht="13.8" thickBot="1" x14ac:dyDescent="0.3">
      <c r="B264" s="101"/>
      <c r="C264" s="102" t="s">
        <v>431</v>
      </c>
      <c r="D264" s="103"/>
      <c r="E264" s="103"/>
      <c r="F264" s="97"/>
      <c r="G264" s="104" t="s">
        <v>22</v>
      </c>
      <c r="H264" s="114">
        <f t="shared" si="23"/>
        <v>14.5</v>
      </c>
      <c r="I264" s="104" t="s">
        <v>11</v>
      </c>
      <c r="J264" s="97"/>
      <c r="K264" s="104" t="s">
        <v>22</v>
      </c>
      <c r="L264" s="114">
        <f t="shared" si="24"/>
        <v>14.5</v>
      </c>
      <c r="M264" s="104" t="s">
        <v>11</v>
      </c>
    </row>
    <row r="265" spans="2:13" x14ac:dyDescent="0.25">
      <c r="B265" s="264"/>
      <c r="C265" s="265" t="s">
        <v>196</v>
      </c>
      <c r="D265" s="266"/>
      <c r="E265" s="266"/>
      <c r="F265" s="267">
        <f>SUM(F251:F253)+SUM(F255:F264)</f>
        <v>134</v>
      </c>
      <c r="G265" s="264" t="s">
        <v>22</v>
      </c>
      <c r="H265" s="268">
        <f>F265*H151+F254*H254</f>
        <v>1943</v>
      </c>
      <c r="I265" s="264" t="s">
        <v>14</v>
      </c>
      <c r="J265" s="269">
        <f>SUM(J251:J253,J255:J264)</f>
        <v>80</v>
      </c>
      <c r="K265" s="264" t="s">
        <v>22</v>
      </c>
      <c r="L265" s="268">
        <f>J265*L151+J254*L254</f>
        <v>31560</v>
      </c>
      <c r="M265" s="264" t="s">
        <v>14</v>
      </c>
    </row>
    <row r="266" spans="2:13" ht="39" customHeight="1" thickBot="1" x14ac:dyDescent="0.3">
      <c r="B266" s="534"/>
      <c r="C266" s="534"/>
      <c r="D266" s="534"/>
      <c r="E266" s="534"/>
      <c r="F266" s="534"/>
      <c r="G266" s="534"/>
      <c r="H266" s="534"/>
      <c r="I266" s="534"/>
      <c r="J266" s="534"/>
      <c r="K266" s="534"/>
      <c r="L266" s="534"/>
      <c r="M266" s="534"/>
    </row>
    <row r="267" spans="2:13" ht="21.6" thickBot="1" x14ac:dyDescent="0.45">
      <c r="B267" s="953" t="s">
        <v>395</v>
      </c>
      <c r="C267" s="954"/>
      <c r="D267" s="954"/>
      <c r="E267" s="955"/>
      <c r="F267" s="534"/>
      <c r="G267" s="534"/>
      <c r="H267" s="534"/>
      <c r="I267" s="534"/>
      <c r="J267" s="983" t="s">
        <v>271</v>
      </c>
      <c r="K267" s="983"/>
      <c r="L267" s="983"/>
      <c r="M267" s="534"/>
    </row>
    <row r="268" spans="2:13" x14ac:dyDescent="0.25">
      <c r="B268" s="534"/>
      <c r="C268" s="534"/>
      <c r="D268" s="534"/>
      <c r="E268" s="534"/>
      <c r="F268" s="534"/>
      <c r="G268" s="534"/>
      <c r="H268" s="534"/>
      <c r="I268" s="534"/>
      <c r="J268" s="534"/>
      <c r="K268" s="534"/>
      <c r="L268" s="534"/>
      <c r="M268" s="534"/>
    </row>
    <row r="269" spans="2:13" ht="30" customHeight="1" x14ac:dyDescent="0.25">
      <c r="B269" s="974" t="s">
        <v>459</v>
      </c>
      <c r="C269" s="974"/>
      <c r="D269" s="974"/>
      <c r="E269" s="974"/>
      <c r="F269" s="974"/>
      <c r="G269" s="974"/>
      <c r="H269" s="974"/>
      <c r="I269" s="974"/>
      <c r="J269" s="974"/>
      <c r="K269" s="974"/>
      <c r="L269" s="974"/>
      <c r="M269" s="974"/>
    </row>
    <row r="270" spans="2:13" x14ac:dyDescent="0.25">
      <c r="B270" s="534"/>
      <c r="C270" s="534"/>
      <c r="D270" s="534"/>
      <c r="E270" s="534"/>
      <c r="F270" s="534"/>
      <c r="G270" s="534"/>
      <c r="H270" s="534"/>
      <c r="I270" s="534"/>
      <c r="J270" s="534"/>
      <c r="K270" s="534"/>
      <c r="L270" s="534"/>
      <c r="M270" s="534"/>
    </row>
    <row r="271" spans="2:13" ht="15.6" x14ac:dyDescent="0.3">
      <c r="B271" s="109" t="s">
        <v>518</v>
      </c>
      <c r="C271" s="72"/>
      <c r="D271" s="72"/>
      <c r="E271" s="72"/>
      <c r="F271" s="957" t="s">
        <v>159</v>
      </c>
      <c r="G271" s="957"/>
      <c r="H271" s="958" t="s">
        <v>158</v>
      </c>
      <c r="I271" s="958"/>
      <c r="J271" s="957" t="s">
        <v>273</v>
      </c>
      <c r="K271" s="957"/>
      <c r="L271" s="79"/>
      <c r="M271" s="79"/>
    </row>
    <row r="272" spans="2:13" ht="15.6" x14ac:dyDescent="0.3">
      <c r="B272" s="109"/>
      <c r="C272" s="72"/>
      <c r="D272" s="462" t="s">
        <v>364</v>
      </c>
      <c r="E272" s="72"/>
      <c r="F272" s="128"/>
      <c r="G272" s="128"/>
      <c r="H272" s="127"/>
      <c r="I272" s="127"/>
      <c r="J272" s="128"/>
      <c r="K272" s="128"/>
      <c r="L272" s="79"/>
      <c r="M272" s="79"/>
    </row>
    <row r="273" spans="1:26" ht="13.8" thickBot="1" x14ac:dyDescent="0.3">
      <c r="B273" s="214" t="s">
        <v>357</v>
      </c>
      <c r="C273" s="72"/>
      <c r="D273" s="72"/>
      <c r="E273" s="72"/>
      <c r="F273" s="74"/>
      <c r="G273" s="74"/>
      <c r="H273" s="73"/>
      <c r="I273" s="73"/>
      <c r="J273" s="79"/>
      <c r="K273" s="79"/>
      <c r="L273" s="79"/>
      <c r="M273" s="79"/>
    </row>
    <row r="274" spans="1:26" ht="13.8" thickBot="1" x14ac:dyDescent="0.3">
      <c r="B274" s="72"/>
      <c r="C274" s="72" t="s">
        <v>413</v>
      </c>
      <c r="D274" s="79"/>
      <c r="E274" s="72"/>
      <c r="F274" s="119">
        <v>3.3</v>
      </c>
      <c r="G274" s="74" t="s">
        <v>20</v>
      </c>
      <c r="H274" s="99">
        <v>16.8</v>
      </c>
      <c r="I274" s="73" t="s">
        <v>5</v>
      </c>
      <c r="J274" s="79">
        <f>F274*H274</f>
        <v>55.44</v>
      </c>
      <c r="K274" s="72" t="s">
        <v>14</v>
      </c>
      <c r="L274" s="79"/>
      <c r="M274" s="79"/>
    </row>
    <row r="275" spans="1:26" ht="13.8" thickBot="1" x14ac:dyDescent="0.3">
      <c r="B275" s="72"/>
      <c r="C275" s="72" t="s">
        <v>326</v>
      </c>
      <c r="D275" s="72"/>
      <c r="E275" s="72"/>
      <c r="F275" s="119"/>
      <c r="G275" s="74" t="s">
        <v>20</v>
      </c>
      <c r="H275" s="99"/>
      <c r="I275" s="73" t="s">
        <v>5</v>
      </c>
      <c r="J275" s="79">
        <f t="shared" ref="J275:J276" si="25">F275*H275</f>
        <v>0</v>
      </c>
      <c r="K275" s="72" t="s">
        <v>14</v>
      </c>
      <c r="L275" s="79"/>
      <c r="M275" s="79"/>
    </row>
    <row r="276" spans="1:26" ht="13.8" thickBot="1" x14ac:dyDescent="0.3">
      <c r="B276" s="72"/>
      <c r="C276" s="72" t="s">
        <v>326</v>
      </c>
      <c r="D276" s="72"/>
      <c r="E276" s="72"/>
      <c r="F276" s="119"/>
      <c r="G276" s="74" t="s">
        <v>20</v>
      </c>
      <c r="H276" s="99"/>
      <c r="I276" s="73" t="s">
        <v>5</v>
      </c>
      <c r="J276" s="79">
        <f t="shared" si="25"/>
        <v>0</v>
      </c>
      <c r="K276" s="72" t="s">
        <v>14</v>
      </c>
      <c r="L276" s="79"/>
      <c r="M276" s="79"/>
    </row>
    <row r="277" spans="1:26" s="8" customFormat="1" x14ac:dyDescent="0.25">
      <c r="A277" s="378"/>
      <c r="B277" s="72"/>
      <c r="C277" s="72"/>
      <c r="D277" s="72"/>
      <c r="E277" s="72"/>
      <c r="F277" s="212"/>
      <c r="G277" s="74"/>
      <c r="H277" s="213"/>
      <c r="I277" s="73"/>
      <c r="J277" s="79"/>
      <c r="K277" s="72"/>
      <c r="L277" s="79"/>
      <c r="M277" s="79"/>
      <c r="N277"/>
      <c r="O277"/>
      <c r="P277"/>
      <c r="Q277"/>
      <c r="R277"/>
      <c r="S277"/>
      <c r="T277"/>
      <c r="U277"/>
      <c r="Y277"/>
      <c r="Z277"/>
    </row>
    <row r="278" spans="1:26" ht="13.8" thickBot="1" x14ac:dyDescent="0.3">
      <c r="B278" s="214" t="s">
        <v>358</v>
      </c>
      <c r="C278" s="72"/>
      <c r="D278" s="72"/>
      <c r="E278" s="72"/>
      <c r="F278" s="212"/>
      <c r="G278" s="74"/>
      <c r="H278" s="213"/>
      <c r="I278" s="73"/>
      <c r="J278" s="79"/>
      <c r="K278" s="72"/>
      <c r="L278" s="79"/>
      <c r="M278" s="79"/>
      <c r="N278" s="8"/>
      <c r="O278" s="8"/>
      <c r="P278" s="8"/>
      <c r="Q278" s="8"/>
      <c r="R278" s="8"/>
      <c r="S278" s="8"/>
      <c r="T278" s="8"/>
      <c r="U278" s="8"/>
    </row>
    <row r="279" spans="1:26" ht="13.8" thickBot="1" x14ac:dyDescent="0.3">
      <c r="B279" s="72"/>
      <c r="C279" s="72" t="s">
        <v>54</v>
      </c>
      <c r="D279" s="72"/>
      <c r="E279" s="72"/>
      <c r="F279" s="119"/>
      <c r="G279" s="74"/>
      <c r="H279" s="119"/>
      <c r="I279" s="73"/>
      <c r="J279" s="79"/>
      <c r="K279" s="72" t="s">
        <v>14</v>
      </c>
      <c r="L279" s="79"/>
      <c r="M279" s="79"/>
      <c r="Y279" s="8"/>
      <c r="Z279" s="8"/>
    </row>
    <row r="280" spans="1:26" ht="13.8" thickBot="1" x14ac:dyDescent="0.3">
      <c r="B280" s="72"/>
      <c r="C280" s="72" t="s">
        <v>326</v>
      </c>
      <c r="D280" s="72"/>
      <c r="E280" s="72"/>
      <c r="F280" s="119"/>
      <c r="G280" s="74"/>
      <c r="H280" s="119"/>
      <c r="I280" s="73"/>
      <c r="J280" s="79"/>
      <c r="K280" s="72" t="s">
        <v>14</v>
      </c>
      <c r="L280" s="79"/>
      <c r="M280" s="79"/>
    </row>
    <row r="281" spans="1:26" s="91" customFormat="1" ht="15.6" thickBot="1" x14ac:dyDescent="0.3">
      <c r="A281" s="380"/>
      <c r="B281" s="72"/>
      <c r="C281" s="72" t="s">
        <v>326</v>
      </c>
      <c r="D281" s="72"/>
      <c r="E281" s="72"/>
      <c r="F281" s="119"/>
      <c r="G281" s="74"/>
      <c r="H281" s="119"/>
      <c r="I281" s="73"/>
      <c r="J281" s="79"/>
      <c r="K281" s="72" t="s">
        <v>14</v>
      </c>
      <c r="L281" s="79"/>
      <c r="M281" s="79"/>
      <c r="N281"/>
      <c r="O281"/>
      <c r="P281"/>
      <c r="Q281"/>
      <c r="R281"/>
      <c r="S281"/>
      <c r="T281"/>
      <c r="U281"/>
      <c r="Y281"/>
      <c r="Z281"/>
    </row>
    <row r="282" spans="1:26" ht="31.05" customHeight="1" x14ac:dyDescent="0.25">
      <c r="B282" s="241"/>
      <c r="C282" s="241" t="s">
        <v>196</v>
      </c>
      <c r="D282" s="241"/>
      <c r="E282" s="241"/>
      <c r="F282" s="273"/>
      <c r="G282" s="242"/>
      <c r="H282" s="273"/>
      <c r="I282" s="243"/>
      <c r="J282" s="241">
        <f>SUM(J274:J281)</f>
        <v>55.44</v>
      </c>
      <c r="K282" s="241" t="s">
        <v>14</v>
      </c>
      <c r="L282" s="241"/>
      <c r="M282" s="241"/>
      <c r="N282" s="91"/>
      <c r="O282" s="91"/>
      <c r="P282" s="91"/>
      <c r="Q282" s="91"/>
      <c r="R282" s="91"/>
      <c r="S282" s="91"/>
      <c r="T282" s="91"/>
      <c r="U282" s="91"/>
    </row>
    <row r="283" spans="1:26" ht="15" x14ac:dyDescent="0.25">
      <c r="B283" s="72"/>
      <c r="C283" s="72"/>
      <c r="D283" s="75"/>
      <c r="E283" s="72"/>
      <c r="F283" s="72"/>
      <c r="G283" s="74"/>
      <c r="H283" s="73"/>
      <c r="I283" s="73"/>
      <c r="J283" s="73"/>
      <c r="K283" s="79"/>
      <c r="L283" s="79"/>
      <c r="M283" s="79"/>
      <c r="Y283" s="91"/>
      <c r="Z283" s="91"/>
    </row>
    <row r="284" spans="1:26" x14ac:dyDescent="0.25">
      <c r="B284" s="535"/>
      <c r="C284" s="535"/>
      <c r="D284" s="547"/>
      <c r="E284" s="535"/>
      <c r="F284" s="535"/>
      <c r="G284" s="539"/>
      <c r="H284" s="537"/>
      <c r="I284" s="537"/>
      <c r="J284" s="537"/>
      <c r="K284" s="534"/>
      <c r="L284" s="534"/>
      <c r="M284" s="534"/>
    </row>
    <row r="285" spans="1:26" ht="15.6" x14ac:dyDescent="0.3">
      <c r="B285" s="219" t="s">
        <v>461</v>
      </c>
      <c r="C285" s="220"/>
      <c r="D285" s="220"/>
      <c r="E285" s="220"/>
      <c r="F285" s="964" t="s">
        <v>159</v>
      </c>
      <c r="G285" s="964"/>
      <c r="H285" s="964" t="s">
        <v>158</v>
      </c>
      <c r="I285" s="964"/>
      <c r="J285" s="964" t="s">
        <v>273</v>
      </c>
      <c r="K285" s="964"/>
      <c r="L285" s="222"/>
      <c r="M285" s="222"/>
    </row>
    <row r="286" spans="1:26" ht="13.8" thickBot="1" x14ac:dyDescent="0.3">
      <c r="B286" s="220"/>
      <c r="C286" s="220"/>
      <c r="D286" s="220"/>
      <c r="E286" s="220"/>
      <c r="F286" s="220"/>
      <c r="G286" s="220"/>
      <c r="H286" s="221"/>
      <c r="I286" s="221"/>
      <c r="J286" s="222"/>
      <c r="K286" s="222"/>
      <c r="L286" s="222"/>
      <c r="M286" s="222"/>
    </row>
    <row r="287" spans="1:26" ht="13.8" thickBot="1" x14ac:dyDescent="0.3">
      <c r="B287" s="220"/>
      <c r="C287" s="220" t="s">
        <v>519</v>
      </c>
      <c r="D287" s="222"/>
      <c r="E287" s="220"/>
      <c r="F287" s="96">
        <v>2</v>
      </c>
      <c r="G287" s="220" t="s">
        <v>0</v>
      </c>
      <c r="H287" s="99">
        <v>62</v>
      </c>
      <c r="I287" s="221" t="s">
        <v>11</v>
      </c>
      <c r="J287" s="223">
        <f t="shared" ref="J287:J289" si="26">F287*H287</f>
        <v>124</v>
      </c>
      <c r="K287" s="220" t="s">
        <v>14</v>
      </c>
      <c r="L287" s="222"/>
      <c r="M287" s="222"/>
    </row>
    <row r="288" spans="1:26" ht="13.8" thickBot="1" x14ac:dyDescent="0.3">
      <c r="B288" s="220"/>
      <c r="C288" s="220" t="s">
        <v>294</v>
      </c>
      <c r="D288" s="220"/>
      <c r="E288" s="220"/>
      <c r="F288" s="96"/>
      <c r="G288" s="220" t="s">
        <v>0</v>
      </c>
      <c r="H288" s="99"/>
      <c r="I288" s="221" t="s">
        <v>14</v>
      </c>
      <c r="J288" s="223">
        <f t="shared" si="26"/>
        <v>0</v>
      </c>
      <c r="K288" s="220" t="s">
        <v>14</v>
      </c>
      <c r="L288" s="222"/>
      <c r="M288" s="222"/>
    </row>
    <row r="289" spans="1:26" ht="13.8" thickBot="1" x14ac:dyDescent="0.3">
      <c r="B289" s="220"/>
      <c r="C289" s="220" t="s">
        <v>294</v>
      </c>
      <c r="D289" s="220"/>
      <c r="E289" s="220"/>
      <c r="F289" s="96"/>
      <c r="G289" s="220" t="s">
        <v>0</v>
      </c>
      <c r="H289" s="99"/>
      <c r="I289" s="221" t="s">
        <v>14</v>
      </c>
      <c r="J289" s="223">
        <f t="shared" si="26"/>
        <v>0</v>
      </c>
      <c r="K289" s="220" t="s">
        <v>14</v>
      </c>
      <c r="L289" s="222"/>
      <c r="M289" s="222"/>
    </row>
    <row r="290" spans="1:26" x14ac:dyDescent="0.25">
      <c r="B290" s="255"/>
      <c r="C290" s="255" t="s">
        <v>196</v>
      </c>
      <c r="D290" s="255"/>
      <c r="E290" s="255"/>
      <c r="F290" s="256"/>
      <c r="G290" s="255"/>
      <c r="H290" s="257"/>
      <c r="I290" s="258"/>
      <c r="J290" s="259">
        <f>SUM(J287:J289)</f>
        <v>124</v>
      </c>
      <c r="K290" s="255" t="s">
        <v>14</v>
      </c>
      <c r="L290" s="255"/>
      <c r="M290" s="255"/>
    </row>
    <row r="291" spans="1:26" x14ac:dyDescent="0.25">
      <c r="B291" s="220"/>
      <c r="C291" s="220"/>
      <c r="D291" s="220"/>
      <c r="E291" s="220"/>
      <c r="F291" s="220"/>
      <c r="G291" s="220"/>
      <c r="H291" s="221"/>
      <c r="I291" s="221"/>
      <c r="J291" s="223"/>
      <c r="K291" s="220"/>
      <c r="L291" s="222"/>
      <c r="M291" s="222"/>
    </row>
    <row r="293" spans="1:26" ht="15.6" x14ac:dyDescent="0.3">
      <c r="B293" s="225" t="s">
        <v>462</v>
      </c>
      <c r="C293" s="226"/>
      <c r="D293" s="226"/>
      <c r="E293" s="227"/>
      <c r="F293" s="226" t="s">
        <v>159</v>
      </c>
      <c r="G293" s="228"/>
      <c r="H293" s="228" t="s">
        <v>158</v>
      </c>
      <c r="I293" s="226"/>
      <c r="J293" s="226"/>
      <c r="K293" s="229"/>
      <c r="L293" s="229"/>
      <c r="M293" s="229"/>
    </row>
    <row r="294" spans="1:26" s="8" customFormat="1" ht="16.2" thickBot="1" x14ac:dyDescent="0.35">
      <c r="A294" s="378"/>
      <c r="B294" s="225"/>
      <c r="C294" s="226"/>
      <c r="D294" s="226"/>
      <c r="E294" s="227"/>
      <c r="F294" s="226"/>
      <c r="G294" s="228"/>
      <c r="H294" s="228"/>
      <c r="I294" s="226"/>
      <c r="J294" s="226"/>
      <c r="K294" s="229"/>
      <c r="L294" s="229"/>
      <c r="M294" s="229"/>
      <c r="N294"/>
      <c r="O294"/>
      <c r="P294"/>
      <c r="Q294"/>
      <c r="R294"/>
      <c r="S294"/>
      <c r="T294"/>
      <c r="U294"/>
      <c r="Y294"/>
      <c r="Z294"/>
    </row>
    <row r="295" spans="1:26" ht="13.8" thickBot="1" x14ac:dyDescent="0.3">
      <c r="A295" s="383"/>
      <c r="B295" s="226"/>
      <c r="C295" s="226" t="s">
        <v>463</v>
      </c>
      <c r="D295" s="229"/>
      <c r="E295" s="230"/>
      <c r="F295" s="96"/>
      <c r="G295" s="231" t="s">
        <v>18</v>
      </c>
      <c r="H295" s="96"/>
      <c r="I295" s="232" t="s">
        <v>10</v>
      </c>
      <c r="J295" s="229">
        <f>H295*F295</f>
        <v>0</v>
      </c>
      <c r="K295" s="232" t="s">
        <v>14</v>
      </c>
      <c r="L295" s="229"/>
      <c r="M295" s="229"/>
      <c r="N295" s="8"/>
      <c r="O295" s="8"/>
      <c r="P295" s="8"/>
      <c r="Q295" s="8"/>
      <c r="R295" s="8"/>
      <c r="S295" s="8"/>
      <c r="T295" s="8"/>
      <c r="U295" s="8"/>
    </row>
    <row r="296" spans="1:26" s="5" customFormat="1" ht="13.8" thickBot="1" x14ac:dyDescent="0.3">
      <c r="A296" s="383"/>
      <c r="B296" s="226"/>
      <c r="C296" s="226" t="s">
        <v>450</v>
      </c>
      <c r="D296" s="232">
        <f>F316/2</f>
        <v>11</v>
      </c>
      <c r="E296" s="226" t="s">
        <v>9</v>
      </c>
      <c r="F296" s="96">
        <f>+D296*8</f>
        <v>88</v>
      </c>
      <c r="G296" s="228" t="s">
        <v>20</v>
      </c>
      <c r="H296" s="96">
        <v>0.83</v>
      </c>
      <c r="I296" s="232" t="s">
        <v>5</v>
      </c>
      <c r="J296" s="229">
        <f>H296*F296</f>
        <v>73.039999999999992</v>
      </c>
      <c r="K296" s="232" t="s">
        <v>14</v>
      </c>
      <c r="L296" s="229"/>
      <c r="M296" s="229"/>
      <c r="P296"/>
      <c r="Q296"/>
      <c r="R296"/>
      <c r="S296"/>
      <c r="T296"/>
      <c r="U296"/>
      <c r="Y296" s="8"/>
      <c r="Z296" s="8"/>
    </row>
    <row r="297" spans="1:26" ht="13.8" thickBot="1" x14ac:dyDescent="0.3">
      <c r="B297" s="226"/>
      <c r="C297" s="226" t="s">
        <v>298</v>
      </c>
      <c r="D297" s="232">
        <f>D296</f>
        <v>11</v>
      </c>
      <c r="E297" s="226" t="s">
        <v>9</v>
      </c>
      <c r="F297" s="96">
        <v>11.88</v>
      </c>
      <c r="G297" s="228" t="s">
        <v>21</v>
      </c>
      <c r="H297" s="96">
        <v>4</v>
      </c>
      <c r="I297" s="232" t="s">
        <v>6</v>
      </c>
      <c r="J297" s="229">
        <f t="shared" ref="J297:J301" si="27">H297*F297</f>
        <v>47.52</v>
      </c>
      <c r="K297" s="232" t="s">
        <v>14</v>
      </c>
      <c r="L297" s="229"/>
      <c r="M297" s="229"/>
      <c r="N297" s="5"/>
      <c r="O297" s="5"/>
      <c r="P297" s="5"/>
      <c r="Q297" s="5"/>
      <c r="R297" s="5"/>
      <c r="S297" s="5"/>
      <c r="T297" s="5"/>
      <c r="U297" s="5"/>
    </row>
    <row r="298" spans="1:26" ht="13.8" thickBot="1" x14ac:dyDescent="0.3">
      <c r="B298" s="226"/>
      <c r="C298" s="226" t="s">
        <v>19</v>
      </c>
      <c r="D298" s="229"/>
      <c r="E298" s="232"/>
      <c r="F298" s="96"/>
      <c r="G298" s="228" t="s">
        <v>20</v>
      </c>
      <c r="H298" s="96">
        <v>1.53</v>
      </c>
      <c r="I298" s="232" t="s">
        <v>5</v>
      </c>
      <c r="J298" s="229">
        <f t="shared" si="27"/>
        <v>0</v>
      </c>
      <c r="K298" s="232" t="s">
        <v>14</v>
      </c>
      <c r="L298" s="229"/>
      <c r="M298" s="229"/>
      <c r="Y298" s="5"/>
      <c r="Z298" s="5"/>
    </row>
    <row r="299" spans="1:26" ht="13.8" thickBot="1" x14ac:dyDescent="0.3">
      <c r="B299" s="226"/>
      <c r="C299" s="226" t="s">
        <v>299</v>
      </c>
      <c r="D299" s="229"/>
      <c r="E299" s="232"/>
      <c r="F299" s="96"/>
      <c r="G299" s="228" t="s">
        <v>20</v>
      </c>
      <c r="H299" s="96">
        <v>1.6</v>
      </c>
      <c r="I299" s="232" t="s">
        <v>5</v>
      </c>
      <c r="J299" s="229">
        <f t="shared" si="27"/>
        <v>0</v>
      </c>
      <c r="K299" s="232" t="s">
        <v>14</v>
      </c>
      <c r="L299" s="229"/>
      <c r="M299" s="229"/>
    </row>
    <row r="300" spans="1:26" ht="13.8" thickBot="1" x14ac:dyDescent="0.3">
      <c r="B300" s="226"/>
      <c r="C300" s="226" t="s">
        <v>300</v>
      </c>
      <c r="D300" s="229"/>
      <c r="E300" s="232"/>
      <c r="F300" s="96"/>
      <c r="G300" s="228"/>
      <c r="H300" s="96"/>
      <c r="I300" s="232"/>
      <c r="J300" s="229">
        <f t="shared" si="27"/>
        <v>0</v>
      </c>
      <c r="K300" s="232" t="s">
        <v>14</v>
      </c>
      <c r="L300" s="229"/>
      <c r="M300" s="229"/>
    </row>
    <row r="301" spans="1:26" ht="13.8" thickBot="1" x14ac:dyDescent="0.3">
      <c r="B301" s="229"/>
      <c r="C301" s="226" t="s">
        <v>300</v>
      </c>
      <c r="D301" s="229"/>
      <c r="E301" s="229"/>
      <c r="F301" s="96"/>
      <c r="G301" s="229"/>
      <c r="H301" s="96"/>
      <c r="I301" s="229"/>
      <c r="J301" s="229">
        <f t="shared" si="27"/>
        <v>0</v>
      </c>
      <c r="K301" s="232" t="s">
        <v>14</v>
      </c>
      <c r="L301" s="229"/>
      <c r="M301" s="229"/>
    </row>
    <row r="302" spans="1:26" s="8" customFormat="1" x14ac:dyDescent="0.25">
      <c r="A302" s="378"/>
      <c r="B302" s="260"/>
      <c r="C302" s="260" t="s">
        <v>196</v>
      </c>
      <c r="D302" s="260"/>
      <c r="E302" s="260"/>
      <c r="F302" s="261"/>
      <c r="G302" s="260"/>
      <c r="H302" s="261"/>
      <c r="I302" s="260"/>
      <c r="J302" s="260">
        <f>SUM(J295:J301)</f>
        <v>120.56</v>
      </c>
      <c r="K302" s="262" t="s">
        <v>14</v>
      </c>
      <c r="L302" s="260"/>
      <c r="M302" s="260"/>
      <c r="N302"/>
      <c r="O302"/>
      <c r="P302"/>
      <c r="Q302"/>
      <c r="R302"/>
      <c r="S302"/>
      <c r="T302"/>
      <c r="U302"/>
      <c r="Y302"/>
      <c r="Z302"/>
    </row>
    <row r="303" spans="1:26" x14ac:dyDescent="0.25">
      <c r="B303" s="229"/>
      <c r="C303" s="229"/>
      <c r="D303" s="229"/>
      <c r="E303" s="229"/>
      <c r="F303" s="229"/>
      <c r="G303" s="229"/>
      <c r="H303" s="229"/>
      <c r="I303" s="229"/>
      <c r="J303" s="229"/>
      <c r="K303" s="229"/>
      <c r="L303" s="229"/>
      <c r="M303" s="229"/>
      <c r="N303" s="8"/>
      <c r="O303" s="8"/>
      <c r="P303" s="8"/>
      <c r="Q303" s="8"/>
      <c r="R303" s="8"/>
      <c r="S303" s="8"/>
      <c r="T303" s="8"/>
      <c r="U303" s="8"/>
    </row>
    <row r="304" spans="1:26" ht="33" customHeight="1" x14ac:dyDescent="0.25">
      <c r="Y304" s="8"/>
      <c r="Z304" s="8"/>
    </row>
    <row r="305" spans="1:26" ht="15.6" x14ac:dyDescent="0.3">
      <c r="B305" s="112" t="s">
        <v>520</v>
      </c>
      <c r="C305" s="101"/>
      <c r="D305" s="101"/>
      <c r="E305" s="101"/>
      <c r="F305" s="101"/>
      <c r="G305" s="101"/>
      <c r="H305" s="101"/>
      <c r="I305" s="101"/>
      <c r="J305" s="101"/>
      <c r="K305" s="101"/>
      <c r="L305" s="101"/>
      <c r="M305" s="101"/>
    </row>
    <row r="306" spans="1:26" ht="15.6" x14ac:dyDescent="0.3">
      <c r="B306" s="112"/>
      <c r="C306" s="101"/>
      <c r="D306" s="101"/>
      <c r="E306" s="101"/>
      <c r="F306" s="101"/>
      <c r="G306" s="101"/>
      <c r="H306" s="101"/>
      <c r="I306" s="101"/>
      <c r="J306" s="101"/>
      <c r="K306" s="101"/>
      <c r="L306" s="101"/>
      <c r="M306" s="101"/>
    </row>
    <row r="307" spans="1:26" ht="30" customHeight="1" x14ac:dyDescent="0.25">
      <c r="B307" s="961" t="s">
        <v>302</v>
      </c>
      <c r="C307" s="961"/>
      <c r="D307" s="961"/>
      <c r="E307" s="961"/>
      <c r="F307" s="961"/>
      <c r="G307" s="961"/>
      <c r="H307" s="961"/>
      <c r="I307" s="961"/>
      <c r="J307" s="961"/>
      <c r="K307" s="961"/>
      <c r="L307" s="961"/>
      <c r="M307" s="961"/>
    </row>
    <row r="308" spans="1:26" ht="15.6" x14ac:dyDescent="0.3">
      <c r="B308" s="112"/>
      <c r="C308" s="101"/>
      <c r="D308" s="101"/>
      <c r="E308" s="834"/>
      <c r="F308" s="834"/>
      <c r="G308" s="834"/>
      <c r="H308" s="835"/>
      <c r="I308" s="835"/>
      <c r="J308" s="834"/>
      <c r="K308" s="834"/>
      <c r="L308" s="835"/>
      <c r="M308" s="835"/>
    </row>
    <row r="309" spans="1:26" ht="15.6" x14ac:dyDescent="0.3">
      <c r="B309" s="112"/>
      <c r="C309" s="101"/>
      <c r="D309" s="101"/>
      <c r="E309" s="962" t="s">
        <v>303</v>
      </c>
      <c r="F309" s="962"/>
      <c r="G309" s="962"/>
      <c r="H309" s="963" t="s">
        <v>158</v>
      </c>
      <c r="I309" s="963"/>
      <c r="J309" s="963" t="s">
        <v>304</v>
      </c>
      <c r="K309" s="963"/>
      <c r="L309" s="963" t="s">
        <v>158</v>
      </c>
      <c r="M309" s="963"/>
    </row>
    <row r="310" spans="1:26" ht="15.6" thickBot="1" x14ac:dyDescent="0.3">
      <c r="B310" s="100"/>
      <c r="C310" s="101"/>
      <c r="D310" s="101"/>
      <c r="E310" s="101"/>
      <c r="F310" s="101"/>
      <c r="G310" s="101"/>
      <c r="H310" s="101"/>
      <c r="I310" s="101"/>
      <c r="J310" s="101"/>
      <c r="K310" s="101"/>
      <c r="L310" s="101"/>
      <c r="M310" s="101"/>
    </row>
    <row r="311" spans="1:26" ht="13.8" thickBot="1" x14ac:dyDescent="0.3">
      <c r="B311" s="101"/>
      <c r="C311" s="102" t="s">
        <v>317</v>
      </c>
      <c r="D311" s="101"/>
      <c r="E311" s="101"/>
      <c r="F311" s="115">
        <v>2</v>
      </c>
      <c r="G311" s="104" t="s">
        <v>22</v>
      </c>
      <c r="H311" s="114">
        <f t="shared" ref="H311:H315" si="28">$H$151</f>
        <v>14.5</v>
      </c>
      <c r="I311" s="104" t="s">
        <v>11</v>
      </c>
      <c r="J311" s="116"/>
      <c r="K311" s="104" t="s">
        <v>22</v>
      </c>
      <c r="L311" s="114">
        <f t="shared" ref="L311:L315" si="29">$L$151</f>
        <v>14.5</v>
      </c>
      <c r="M311" s="104" t="s">
        <v>11</v>
      </c>
    </row>
    <row r="312" spans="1:26" ht="13.8" thickBot="1" x14ac:dyDescent="0.3">
      <c r="B312" s="101"/>
      <c r="C312" s="102" t="s">
        <v>521</v>
      </c>
      <c r="D312" s="101"/>
      <c r="E312" s="101"/>
      <c r="F312" s="115">
        <v>20</v>
      </c>
      <c r="G312" s="104" t="s">
        <v>22</v>
      </c>
      <c r="H312" s="114">
        <f t="shared" si="28"/>
        <v>14.5</v>
      </c>
      <c r="I312" s="104" t="s">
        <v>11</v>
      </c>
      <c r="J312" s="116">
        <v>20</v>
      </c>
      <c r="K312" s="104" t="s">
        <v>22</v>
      </c>
      <c r="L312" s="114">
        <f t="shared" si="29"/>
        <v>14.5</v>
      </c>
      <c r="M312" s="104" t="s">
        <v>11</v>
      </c>
    </row>
    <row r="313" spans="1:26" ht="13.8" thickBot="1" x14ac:dyDescent="0.3">
      <c r="B313" s="101"/>
      <c r="C313" s="102" t="s">
        <v>431</v>
      </c>
      <c r="D313" s="101"/>
      <c r="E313" s="101"/>
      <c r="F313" s="116"/>
      <c r="G313" s="104" t="s">
        <v>22</v>
      </c>
      <c r="H313" s="114">
        <f t="shared" si="28"/>
        <v>14.5</v>
      </c>
      <c r="I313" s="104" t="s">
        <v>11</v>
      </c>
      <c r="J313" s="97"/>
      <c r="K313" s="104" t="s">
        <v>22</v>
      </c>
      <c r="L313" s="114">
        <f t="shared" si="29"/>
        <v>14.5</v>
      </c>
      <c r="M313" s="104" t="s">
        <v>11</v>
      </c>
    </row>
    <row r="314" spans="1:26" ht="13.8" thickBot="1" x14ac:dyDescent="0.3">
      <c r="B314" s="101"/>
      <c r="C314" s="102" t="s">
        <v>431</v>
      </c>
      <c r="D314" s="101"/>
      <c r="E314" s="101"/>
      <c r="F314" s="116"/>
      <c r="G314" s="104" t="s">
        <v>22</v>
      </c>
      <c r="H314" s="114">
        <f t="shared" si="28"/>
        <v>14.5</v>
      </c>
      <c r="I314" s="104" t="s">
        <v>11</v>
      </c>
      <c r="J314" s="97"/>
      <c r="K314" s="104" t="s">
        <v>22</v>
      </c>
      <c r="L314" s="114">
        <f t="shared" si="29"/>
        <v>14.5</v>
      </c>
      <c r="M314" s="104" t="s">
        <v>11</v>
      </c>
    </row>
    <row r="315" spans="1:26" s="8" customFormat="1" ht="13.8" thickBot="1" x14ac:dyDescent="0.3">
      <c r="A315" s="378"/>
      <c r="B315" s="101"/>
      <c r="C315" s="102" t="s">
        <v>431</v>
      </c>
      <c r="D315" s="103"/>
      <c r="E315" s="103"/>
      <c r="F315" s="97"/>
      <c r="G315" s="104" t="s">
        <v>22</v>
      </c>
      <c r="H315" s="114">
        <f t="shared" si="28"/>
        <v>14.5</v>
      </c>
      <c r="I315" s="104" t="s">
        <v>11</v>
      </c>
      <c r="J315" s="97"/>
      <c r="K315" s="104" t="s">
        <v>22</v>
      </c>
      <c r="L315" s="114">
        <f t="shared" si="29"/>
        <v>14.5</v>
      </c>
      <c r="M315" s="104" t="s">
        <v>11</v>
      </c>
      <c r="N315"/>
      <c r="O315"/>
      <c r="P315"/>
      <c r="Q315"/>
      <c r="R315"/>
      <c r="S315"/>
      <c r="T315"/>
      <c r="U315"/>
      <c r="Y315"/>
      <c r="Z315"/>
    </row>
    <row r="316" spans="1:26" x14ac:dyDescent="0.25">
      <c r="B316" s="264"/>
      <c r="C316" s="265" t="s">
        <v>196</v>
      </c>
      <c r="D316" s="266"/>
      <c r="E316" s="266"/>
      <c r="F316" s="267">
        <f>SUM(F311:F315)</f>
        <v>22</v>
      </c>
      <c r="G316" s="264" t="s">
        <v>22</v>
      </c>
      <c r="H316" s="268">
        <f>F316*H151</f>
        <v>319</v>
      </c>
      <c r="I316" s="264" t="s">
        <v>14</v>
      </c>
      <c r="J316" s="269">
        <f>SUM(J311:J315)</f>
        <v>20</v>
      </c>
      <c r="K316" s="264" t="s">
        <v>22</v>
      </c>
      <c r="L316" s="268">
        <f>J316*L151</f>
        <v>290</v>
      </c>
      <c r="M316" s="264" t="s">
        <v>14</v>
      </c>
      <c r="N316" s="8"/>
      <c r="O316" s="8"/>
      <c r="P316" s="8"/>
      <c r="Q316" s="8"/>
      <c r="R316" s="8"/>
      <c r="S316" s="8"/>
      <c r="T316" s="8"/>
      <c r="U316" s="8"/>
    </row>
    <row r="317" spans="1:26" ht="40.049999999999997" customHeight="1" x14ac:dyDescent="0.25">
      <c r="Y317" s="8"/>
      <c r="Z317" s="8"/>
    </row>
    <row r="320" spans="1:26" ht="37.950000000000003" customHeight="1" x14ac:dyDescent="0.25"/>
    <row r="328" spans="1:26" s="8" customFormat="1" x14ac:dyDescent="0.25">
      <c r="A328" s="378"/>
      <c r="B328"/>
      <c r="C328"/>
      <c r="D328"/>
      <c r="E328"/>
      <c r="F328"/>
      <c r="G328"/>
      <c r="H328"/>
      <c r="I328"/>
      <c r="J328"/>
      <c r="K328"/>
      <c r="L328"/>
      <c r="M328"/>
      <c r="N328"/>
      <c r="O328"/>
      <c r="P328"/>
      <c r="Q328"/>
      <c r="R328"/>
      <c r="S328"/>
      <c r="T328"/>
      <c r="U328"/>
      <c r="Y328"/>
      <c r="Z328"/>
    </row>
    <row r="329" spans="1:26" x14ac:dyDescent="0.25">
      <c r="N329" s="8"/>
      <c r="O329" s="8"/>
      <c r="P329" s="8"/>
      <c r="Q329" s="8"/>
      <c r="R329" s="8"/>
      <c r="S329" s="8"/>
      <c r="T329" s="8"/>
      <c r="U329" s="8"/>
    </row>
    <row r="330" spans="1:26" x14ac:dyDescent="0.25">
      <c r="Y330" s="8"/>
      <c r="Z330" s="8"/>
    </row>
  </sheetData>
  <mergeCells count="79">
    <mergeCell ref="F285:G285"/>
    <mergeCell ref="H285:I285"/>
    <mergeCell ref="J285:K285"/>
    <mergeCell ref="B307:M307"/>
    <mergeCell ref="E309:G309"/>
    <mergeCell ref="H309:I309"/>
    <mergeCell ref="J309:K309"/>
    <mergeCell ref="L309:M309"/>
    <mergeCell ref="F204:G204"/>
    <mergeCell ref="H204:I204"/>
    <mergeCell ref="J204:K204"/>
    <mergeCell ref="F217:G217"/>
    <mergeCell ref="H217:I217"/>
    <mergeCell ref="J217:K217"/>
    <mergeCell ref="F170:G170"/>
    <mergeCell ref="H170:I170"/>
    <mergeCell ref="J170:K170"/>
    <mergeCell ref="F180:G180"/>
    <mergeCell ref="H180:I180"/>
    <mergeCell ref="J180:K180"/>
    <mergeCell ref="C56:D56"/>
    <mergeCell ref="B60:D60"/>
    <mergeCell ref="C63:D63"/>
    <mergeCell ref="B67:C67"/>
    <mergeCell ref="C70:D70"/>
    <mergeCell ref="F102:G102"/>
    <mergeCell ref="B267:E267"/>
    <mergeCell ref="J267:L267"/>
    <mergeCell ref="B269:M269"/>
    <mergeCell ref="F271:G271"/>
    <mergeCell ref="H271:I271"/>
    <mergeCell ref="J271:K271"/>
    <mergeCell ref="F225:G225"/>
    <mergeCell ref="H225:I225"/>
    <mergeCell ref="J225:K225"/>
    <mergeCell ref="B247:M247"/>
    <mergeCell ref="E249:G249"/>
    <mergeCell ref="H249:I249"/>
    <mergeCell ref="J249:K249"/>
    <mergeCell ref="L249:M249"/>
    <mergeCell ref="B168:E168"/>
    <mergeCell ref="F111:G111"/>
    <mergeCell ref="H111:I111"/>
    <mergeCell ref="J111:K111"/>
    <mergeCell ref="F125:G125"/>
    <mergeCell ref="H125:I125"/>
    <mergeCell ref="J125:K125"/>
    <mergeCell ref="T9:U9"/>
    <mergeCell ref="O18:Q18"/>
    <mergeCell ref="H102:I102"/>
    <mergeCell ref="B2:C2"/>
    <mergeCell ref="B4:L4"/>
    <mergeCell ref="B11:D11"/>
    <mergeCell ref="F91:G91"/>
    <mergeCell ref="H91:I91"/>
    <mergeCell ref="J91:K91"/>
    <mergeCell ref="B41:E41"/>
    <mergeCell ref="B42:E42"/>
    <mergeCell ref="B43:D43"/>
    <mergeCell ref="B46:C46"/>
    <mergeCell ref="B75:D75"/>
    <mergeCell ref="C49:D49"/>
    <mergeCell ref="B85:D85"/>
    <mergeCell ref="F196:G196"/>
    <mergeCell ref="H196:I196"/>
    <mergeCell ref="J196:K196"/>
    <mergeCell ref="O9:Q9"/>
    <mergeCell ref="B53:D53"/>
    <mergeCell ref="B72:D72"/>
    <mergeCell ref="B83:D83"/>
    <mergeCell ref="B87:D87"/>
    <mergeCell ref="B89:E89"/>
    <mergeCell ref="J89:L89"/>
    <mergeCell ref="B147:M147"/>
    <mergeCell ref="E149:G149"/>
    <mergeCell ref="H149:I149"/>
    <mergeCell ref="J149:K149"/>
    <mergeCell ref="L149:M149"/>
    <mergeCell ref="J102:K102"/>
  </mergeCells>
  <phoneticPr fontId="2" type="noConversion"/>
  <hyperlinks>
    <hyperlink ref="B2" location="Tilakokonaisuus!A1" display="PALAA ETUSIVULLE" xr:uid="{F28C5CC8-ED96-2E4C-BB4E-D475C19A5FF3}"/>
    <hyperlink ref="B2:C2" location="'Gårdens info'!A1" display="TILL FRAMSIDAN" xr:uid="{91DCED99-B6C2-524E-B03F-13B9B0E8E32D}"/>
    <hyperlink ref="B23" location="'Hallon friland'!B168" display="SKÖRDEÅRENS KOSTNADER" xr:uid="{C6ADE030-AF9E-324B-B5AE-0C2018661A6E}"/>
    <hyperlink ref="B34" location="'Hallon friland'!B267" display="RÖJNINGSÅRENS KOSTNADER" xr:uid="{8EE98B77-8440-4848-BBDD-70643D5E0F1F}"/>
    <hyperlink ref="B75" location="'Avomaan mansikka'!B41" display="PERUSTAMISVUODEN KUSTANNUKSET" xr:uid="{863BE9BD-FD06-5D49-8BF6-BA91021E8A93}"/>
    <hyperlink ref="B75:D75" location="'Hallon friland'!B147" display="ETABLERINGSÅRETS KOSTNADER" xr:uid="{7FEABCA6-AA97-C745-9959-EE0233D5C618}"/>
    <hyperlink ref="B41:E41" location="'Gårdens info'!C131" display="ALLMÄNNA KOSTNADER, hallonens andel" xr:uid="{CB3F56AA-D467-594C-A58D-75B383B9A4E2}"/>
    <hyperlink ref="B78" location="'Hallon friland'!B247" display="SKÖRDEÅRENS KOSTNADER" xr:uid="{7E97B2BE-EB80-7B44-8C40-E1EA38D148DD}"/>
    <hyperlink ref="B81" location="'Hallon friland'!B280" display="RÖJNINGSÅRETS KOSTNADER" xr:uid="{6B4FA12C-E580-134E-B53C-F7E7068A8A98}"/>
    <hyperlink ref="J168" location="'Hallon friland'!A1" display="TILL SIDANS BÖRJAN" xr:uid="{50191CA9-7DDE-EB48-9B36-3D7811F9F00A}"/>
    <hyperlink ref="J267:L267" location="'Hallon friland'!A1" display="TILL SIDANS BÖRJAN" xr:uid="{181F4CF2-4339-FF44-9649-2A867F7961AB}"/>
    <hyperlink ref="J89:L89" location="'Hallon friland'!A1" display="TILL SIDANS BÖRJAN" xr:uid="{D4F0295D-559A-7344-ACD4-7323A5304977}"/>
    <hyperlink ref="B46:C46" location="Ägendom!B15" display="BYGGNADER" xr:uid="{4C2E85B6-6DA3-408A-A6C8-55EAE415124F}"/>
    <hyperlink ref="B53:D53" location="Ägendom!B28" display="MASINER OCH UTRUSTNING" xr:uid="{EB0D89AA-5E8D-41EA-B5C6-325698C760CE}"/>
    <hyperlink ref="B60:D60" location="Ägendom!B51" display="LÅNGVARIGA PRODUKTIONSMEDEL" xr:uid="{74F5DB24-EBC7-4869-B394-4B8843613174}"/>
    <hyperlink ref="B67:C67" location="Ägendom!B70" display="TÄCKDIKEN" xr:uid="{9ADB6E63-7DA8-48E6-8BE6-2C92D09A3437}"/>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4572F-00CE-5846-804A-75378D9AF2FA}">
  <sheetPr>
    <tabColor theme="9" tint="-0.249977111117893"/>
  </sheetPr>
  <dimension ref="A1:Z259"/>
  <sheetViews>
    <sheetView topLeftCell="J21" zoomScaleNormal="100" workbookViewId="0">
      <selection activeCell="H187" sqref="H187"/>
    </sheetView>
  </sheetViews>
  <sheetFormatPr defaultColWidth="11.44140625" defaultRowHeight="13.2" x14ac:dyDescent="0.25"/>
  <cols>
    <col min="1" max="1" width="5.33203125" style="385" customWidth="1"/>
    <col min="3" max="3" width="16.77734375" customWidth="1"/>
    <col min="4" max="4" width="22.6640625" customWidth="1"/>
    <col min="5" max="5" width="12.109375" bestFit="1" customWidth="1"/>
    <col min="6" max="6" width="14" bestFit="1" customWidth="1"/>
    <col min="7" max="7" width="6.33203125" customWidth="1"/>
    <col min="9" max="9" width="6" customWidth="1"/>
    <col min="10" max="10" width="15.109375" customWidth="1"/>
    <col min="11" max="11" width="9.6640625" customWidth="1"/>
    <col min="12" max="12" width="20" customWidth="1"/>
    <col min="13" max="13" width="12.109375" customWidth="1"/>
    <col min="27" max="27" width="19" customWidth="1"/>
  </cols>
  <sheetData>
    <row r="1" spans="1:21" s="385" customFormat="1" ht="22.8" x14ac:dyDescent="0.4">
      <c r="B1" s="392" t="s">
        <v>377</v>
      </c>
    </row>
    <row r="2" spans="1:21" ht="27" customHeight="1" x14ac:dyDescent="0.3">
      <c r="B2" s="976" t="s">
        <v>337</v>
      </c>
      <c r="C2" s="976"/>
    </row>
    <row r="3" spans="1:21" ht="27" customHeight="1" x14ac:dyDescent="0.3">
      <c r="B3" s="233"/>
      <c r="C3" s="233"/>
    </row>
    <row r="4" spans="1:21" ht="139.94999999999999" customHeight="1" x14ac:dyDescent="0.3">
      <c r="B4" s="942" t="s">
        <v>371</v>
      </c>
      <c r="C4" s="942"/>
      <c r="D4" s="942"/>
      <c r="E4" s="942"/>
      <c r="F4" s="942"/>
      <c r="G4" s="942"/>
      <c r="H4" s="942"/>
      <c r="I4" s="942"/>
      <c r="J4" s="942"/>
      <c r="K4" s="942"/>
      <c r="L4" s="942"/>
    </row>
    <row r="5" spans="1:21" ht="27" customHeight="1" thickBot="1" x14ac:dyDescent="0.35">
      <c r="B5" s="233"/>
      <c r="C5" s="233"/>
    </row>
    <row r="6" spans="1:21" ht="27" customHeight="1" x14ac:dyDescent="0.4">
      <c r="B6" s="318" t="s">
        <v>380</v>
      </c>
      <c r="C6" s="282"/>
      <c r="D6" s="283"/>
      <c r="E6" s="283"/>
      <c r="F6" s="283"/>
      <c r="G6" s="283"/>
      <c r="H6" s="283"/>
      <c r="I6" s="283"/>
      <c r="J6" s="283"/>
      <c r="K6" s="283"/>
      <c r="L6" s="283"/>
      <c r="M6" s="284"/>
      <c r="N6" s="441"/>
      <c r="O6" s="283"/>
      <c r="P6" s="283"/>
      <c r="Q6" s="283"/>
      <c r="R6" s="283"/>
      <c r="S6" s="283"/>
      <c r="T6" s="283"/>
      <c r="U6" s="284"/>
    </row>
    <row r="7" spans="1:21" ht="27" customHeight="1" x14ac:dyDescent="0.4">
      <c r="B7" s="285"/>
      <c r="C7" s="286"/>
      <c r="D7" s="148"/>
      <c r="E7" s="148"/>
      <c r="F7" s="148"/>
      <c r="G7" s="148"/>
      <c r="H7" s="148"/>
      <c r="I7" s="148"/>
      <c r="J7" s="148"/>
      <c r="K7" s="148"/>
      <c r="L7" s="148"/>
      <c r="M7" s="287"/>
      <c r="N7" s="442"/>
      <c r="O7" s="148"/>
      <c r="P7" s="148"/>
      <c r="Q7" s="148"/>
      <c r="R7" s="148"/>
      <c r="S7" s="148"/>
      <c r="T7" s="148"/>
      <c r="U7" s="287"/>
    </row>
    <row r="8" spans="1:21" ht="21" x14ac:dyDescent="0.4">
      <c r="B8" s="319" t="s">
        <v>373</v>
      </c>
      <c r="C8" s="286"/>
      <c r="D8" s="148"/>
      <c r="E8" s="151"/>
      <c r="F8" s="151"/>
      <c r="G8" s="151"/>
      <c r="H8" s="151"/>
      <c r="I8" s="148"/>
      <c r="J8" s="148"/>
      <c r="K8" s="148"/>
      <c r="L8" s="148"/>
      <c r="M8" s="287"/>
      <c r="N8" s="319" t="s">
        <v>239</v>
      </c>
      <c r="O8" s="148"/>
      <c r="P8" s="148"/>
      <c r="Q8" s="148"/>
      <c r="R8" s="148"/>
      <c r="S8" s="148"/>
      <c r="T8" s="148"/>
      <c r="U8" s="300"/>
    </row>
    <row r="9" spans="1:21" ht="16.2" thickBot="1" x14ac:dyDescent="0.35">
      <c r="B9" s="288"/>
      <c r="C9" s="289" t="s">
        <v>239</v>
      </c>
      <c r="D9" s="151"/>
      <c r="E9" s="151"/>
      <c r="F9" s="290">
        <f>IF('Gårdens info'!D25&gt;0,H9*'Gårdens info'!G24,0)</f>
        <v>23132.5</v>
      </c>
      <c r="G9" s="151" t="s">
        <v>14</v>
      </c>
      <c r="H9" s="619">
        <f>IF('Gårdens info'!G25&gt;0,(('Gårdens info'!G25*S10*T10)+('Gårdens info'!G25*S11*T11)+('Gårdens info'!G25*S12*T12)+('Gårdens info'!G25*S13*T13)+('Gårdens info'!G25*S14*T14)+('Gårdens info'!G25*S15*T15)+('Gårdens info'!G25*S16*T16)+('Gårdens info'!G25*S17*T17))/(('Gårdens info'!G25)),0)</f>
        <v>9.74</v>
      </c>
      <c r="I9" s="151" t="s">
        <v>6</v>
      </c>
      <c r="J9" s="290">
        <f>F9*'Gårdens info'!D25</f>
        <v>23132.5</v>
      </c>
      <c r="K9" s="151" t="s">
        <v>491</v>
      </c>
      <c r="L9" s="151"/>
      <c r="M9" s="287"/>
      <c r="N9" s="442"/>
      <c r="O9" s="943" t="s">
        <v>366</v>
      </c>
      <c r="P9" s="943"/>
      <c r="Q9" s="943"/>
      <c r="R9" s="443"/>
      <c r="S9" s="444" t="s">
        <v>339</v>
      </c>
      <c r="T9" s="967" t="s">
        <v>340</v>
      </c>
      <c r="U9" s="968"/>
    </row>
    <row r="10" spans="1:21" ht="15.6" thickBot="1" x14ac:dyDescent="0.3">
      <c r="B10" s="288"/>
      <c r="C10" s="151" t="s">
        <v>224</v>
      </c>
      <c r="D10" s="151"/>
      <c r="E10" s="151"/>
      <c r="F10" s="290">
        <f>IF('Gårdens info'!D24&gt;0,Stöd!J6/'Gårdens info'!D37*Stöd!L6+Stöd!J7/'Gårdens info'!D37*Stöd!L7+Stöd!J8/'Gårdens info'!D37*Stöd!L8+Stöd!J12/'Gårdens info'!D37*Stöd!L12+Stöd!J13/'Gårdens info'!D37*Stöd!L13+Stöd!J15/'Gårdens info'!D37*Stöd!L15+Stöd!J16/'Gårdens info'!D37*Stöd!L16+Stöd!J18/'Gårdens info'!D37*Stöd!L18+Stöd!J19/'Gårdens info'!D37*Stöd!L19+Stöd!J20/'Gårdens info'!D37*Stöd!L20+Stöd!J21/'Gårdens info'!D37*Stöd!L21,0)</f>
        <v>0</v>
      </c>
      <c r="G10" s="151" t="s">
        <v>14</v>
      </c>
      <c r="H10" s="619">
        <f>IF('Gårdens info'!G24&gt;0,F10/'Gårdens info'!G24,0)</f>
        <v>0</v>
      </c>
      <c r="I10" s="151" t="s">
        <v>6</v>
      </c>
      <c r="J10" s="290">
        <f>F10*'Gårdens info'!D25</f>
        <v>0</v>
      </c>
      <c r="K10" s="151" t="s">
        <v>491</v>
      </c>
      <c r="L10" s="151"/>
      <c r="M10" s="287"/>
      <c r="N10" s="442"/>
      <c r="O10" s="151">
        <v>1</v>
      </c>
      <c r="P10" s="151" t="s">
        <v>21</v>
      </c>
      <c r="Q10" s="151" t="s">
        <v>389</v>
      </c>
      <c r="R10" s="151"/>
      <c r="S10" s="452">
        <v>0.2</v>
      </c>
      <c r="T10" s="317">
        <v>10.199999999999999</v>
      </c>
      <c r="U10" s="300" t="s">
        <v>6</v>
      </c>
    </row>
    <row r="11" spans="1:21" s="8" customFormat="1" ht="21.6" customHeight="1" thickBot="1" x14ac:dyDescent="0.45">
      <c r="A11" s="386"/>
      <c r="B11" s="932" t="s">
        <v>240</v>
      </c>
      <c r="C11" s="933"/>
      <c r="D11" s="933"/>
      <c r="E11" s="324"/>
      <c r="F11" s="328">
        <f>F9+F10</f>
        <v>23132.5</v>
      </c>
      <c r="G11" s="329" t="s">
        <v>14</v>
      </c>
      <c r="H11" s="618">
        <f>H9+H10</f>
        <v>9.74</v>
      </c>
      <c r="I11" s="329" t="s">
        <v>6</v>
      </c>
      <c r="J11" s="331">
        <f>J9+J10</f>
        <v>23132.5</v>
      </c>
      <c r="K11" s="329" t="s">
        <v>491</v>
      </c>
      <c r="L11" s="329"/>
      <c r="M11" s="321"/>
      <c r="N11" s="445"/>
      <c r="O11" s="151">
        <v>3</v>
      </c>
      <c r="P11" s="151" t="s">
        <v>21</v>
      </c>
      <c r="Q11" s="151" t="s">
        <v>390</v>
      </c>
      <c r="R11" s="151"/>
      <c r="S11" s="454">
        <v>0</v>
      </c>
      <c r="T11" s="317"/>
      <c r="U11" s="300" t="s">
        <v>6</v>
      </c>
    </row>
    <row r="12" spans="1:21" ht="21" customHeight="1" thickBot="1" x14ac:dyDescent="0.45">
      <c r="B12" s="832"/>
      <c r="C12" s="833"/>
      <c r="D12" s="833"/>
      <c r="E12" s="148"/>
      <c r="F12" s="148"/>
      <c r="G12" s="148"/>
      <c r="H12" s="148"/>
      <c r="I12" s="148"/>
      <c r="J12" s="293"/>
      <c r="K12" s="148"/>
      <c r="L12" s="148"/>
      <c r="M12" s="287"/>
      <c r="N12" s="445"/>
      <c r="O12" s="151">
        <v>5</v>
      </c>
      <c r="P12" s="151" t="s">
        <v>21</v>
      </c>
      <c r="Q12" s="151" t="s">
        <v>390</v>
      </c>
      <c r="R12" s="151"/>
      <c r="S12" s="454">
        <v>0.7</v>
      </c>
      <c r="T12" s="317">
        <v>11</v>
      </c>
      <c r="U12" s="300" t="s">
        <v>6</v>
      </c>
    </row>
    <row r="13" spans="1:21" ht="18" thickBot="1" x14ac:dyDescent="0.35">
      <c r="B13" s="292"/>
      <c r="C13" s="286"/>
      <c r="D13" s="148"/>
      <c r="E13" s="148"/>
      <c r="F13" s="148"/>
      <c r="G13" s="148"/>
      <c r="H13" s="148"/>
      <c r="I13" s="148"/>
      <c r="J13" s="293"/>
      <c r="K13" s="148"/>
      <c r="L13" s="148"/>
      <c r="M13" s="287"/>
      <c r="N13" s="442"/>
      <c r="O13" s="151">
        <v>0.5</v>
      </c>
      <c r="P13" s="151" t="s">
        <v>21</v>
      </c>
      <c r="Q13" s="151" t="s">
        <v>391</v>
      </c>
      <c r="R13" s="151"/>
      <c r="S13" s="454">
        <v>0.1</v>
      </c>
      <c r="T13" s="317"/>
      <c r="U13" s="300" t="s">
        <v>6</v>
      </c>
    </row>
    <row r="14" spans="1:21" s="77" customFormat="1" ht="21.6" thickBot="1" x14ac:dyDescent="0.45">
      <c r="A14" s="387"/>
      <c r="B14" s="319" t="s">
        <v>241</v>
      </c>
      <c r="C14" s="286"/>
      <c r="D14" s="148"/>
      <c r="E14" s="310"/>
      <c r="F14" s="311"/>
      <c r="G14" s="153"/>
      <c r="H14" s="310"/>
      <c r="I14" s="310"/>
      <c r="J14" s="310"/>
      <c r="K14" s="310"/>
      <c r="L14" s="310"/>
      <c r="M14" s="295"/>
      <c r="N14" s="442"/>
      <c r="O14" s="151">
        <v>0.25</v>
      </c>
      <c r="P14" s="151" t="s">
        <v>21</v>
      </c>
      <c r="Q14" s="151" t="s">
        <v>391</v>
      </c>
      <c r="R14" s="151"/>
      <c r="S14" s="454">
        <v>0</v>
      </c>
      <c r="T14" s="317"/>
      <c r="U14" s="300" t="s">
        <v>6</v>
      </c>
    </row>
    <row r="15" spans="1:21" s="91" customFormat="1" ht="18" thickBot="1" x14ac:dyDescent="0.35">
      <c r="A15" s="388"/>
      <c r="B15" s="697"/>
      <c r="C15" s="289" t="s">
        <v>328</v>
      </c>
      <c r="D15" s="297"/>
      <c r="E15" s="297"/>
      <c r="F15" s="298">
        <f>IF('Gårdens info'!D25&gt;0,J76,0)</f>
        <v>5200</v>
      </c>
      <c r="G15" s="151" t="s">
        <v>14</v>
      </c>
      <c r="H15" s="614">
        <f>IF('Gårdens info'!$G$25&gt;0,F15/'Gårdens info'!$G$25,0)</f>
        <v>1.1555555555555554</v>
      </c>
      <c r="I15" s="151" t="s">
        <v>6</v>
      </c>
      <c r="J15" s="298">
        <f>F15*'Gårdens info'!$D$25</f>
        <v>5200</v>
      </c>
      <c r="K15" s="151" t="s">
        <v>491</v>
      </c>
      <c r="L15" s="297"/>
      <c r="M15" s="295"/>
      <c r="N15" s="442"/>
      <c r="O15" s="812">
        <f>D125</f>
        <v>0</v>
      </c>
      <c r="P15" s="151" t="s">
        <v>21</v>
      </c>
      <c r="Q15" s="151" t="str">
        <f>C125</f>
        <v>Förpackning X</v>
      </c>
      <c r="R15" s="151"/>
      <c r="S15" s="454">
        <v>0</v>
      </c>
      <c r="T15" s="317"/>
      <c r="U15" s="300" t="s">
        <v>6</v>
      </c>
    </row>
    <row r="16" spans="1:21" s="91" customFormat="1" ht="15.6" thickBot="1" x14ac:dyDescent="0.3">
      <c r="A16" s="388"/>
      <c r="B16" s="296"/>
      <c r="C16" s="289" t="s">
        <v>244</v>
      </c>
      <c r="D16" s="297"/>
      <c r="E16" s="297"/>
      <c r="F16" s="298">
        <f>IF('Gårdens info'!D25&gt;0,J90,0)</f>
        <v>1443</v>
      </c>
      <c r="G16" s="151" t="s">
        <v>14</v>
      </c>
      <c r="H16" s="614">
        <f>IF('Gårdens info'!$G$25&gt;0,F16/'Gårdens info'!$G$25,0)</f>
        <v>0.32066666666666666</v>
      </c>
      <c r="I16" s="151" t="s">
        <v>6</v>
      </c>
      <c r="J16" s="298">
        <f>F16*'Gårdens info'!$D$25</f>
        <v>1443</v>
      </c>
      <c r="K16" s="151" t="s">
        <v>491</v>
      </c>
      <c r="L16" s="297"/>
      <c r="M16" s="300"/>
      <c r="N16" s="442"/>
      <c r="O16" s="812">
        <f t="shared" ref="O16:O17" si="0">D126</f>
        <v>0</v>
      </c>
      <c r="P16" s="151"/>
      <c r="Q16" s="151" t="str">
        <f t="shared" ref="Q16:Q17" si="1">C126</f>
        <v>Förpackning X</v>
      </c>
      <c r="R16" s="151"/>
      <c r="S16" s="453">
        <v>0</v>
      </c>
      <c r="T16" s="317"/>
      <c r="U16" s="300" t="s">
        <v>6</v>
      </c>
    </row>
    <row r="17" spans="1:26" s="91" customFormat="1" ht="15.6" thickBot="1" x14ac:dyDescent="0.3">
      <c r="A17" s="388"/>
      <c r="B17" s="296"/>
      <c r="C17" s="289" t="s">
        <v>245</v>
      </c>
      <c r="D17" s="297"/>
      <c r="E17" s="297"/>
      <c r="F17" s="298">
        <f>IF('Gårdens info'!D25&gt;0,J107,0)</f>
        <v>579.29999999999995</v>
      </c>
      <c r="G17" s="151" t="s">
        <v>14</v>
      </c>
      <c r="H17" s="614">
        <f>IF('Gårdens info'!$G$25&gt;0,F17/'Gårdens info'!$G$25,0)</f>
        <v>0.12873333333333331</v>
      </c>
      <c r="I17" s="151" t="s">
        <v>6</v>
      </c>
      <c r="J17" s="298">
        <f>F17*'Gårdens info'!$D$25</f>
        <v>579.29999999999995</v>
      </c>
      <c r="K17" s="151" t="s">
        <v>491</v>
      </c>
      <c r="L17" s="297"/>
      <c r="M17" s="300"/>
      <c r="N17" s="442"/>
      <c r="O17" s="812">
        <f t="shared" si="0"/>
        <v>0</v>
      </c>
      <c r="P17" s="151" t="s">
        <v>21</v>
      </c>
      <c r="Q17" s="151" t="str">
        <f t="shared" si="1"/>
        <v>Förpackning X</v>
      </c>
      <c r="R17" s="151"/>
      <c r="S17" s="453">
        <v>0</v>
      </c>
      <c r="T17" s="317"/>
      <c r="U17" s="300" t="s">
        <v>6</v>
      </c>
    </row>
    <row r="18" spans="1:26" s="91" customFormat="1" ht="17.399999999999999" x14ac:dyDescent="0.3">
      <c r="A18" s="388"/>
      <c r="B18" s="296"/>
      <c r="C18" s="289" t="s">
        <v>392</v>
      </c>
      <c r="D18" s="297"/>
      <c r="E18" s="297"/>
      <c r="F18" s="298">
        <f>IF('Gårdens info'!D25&gt;0,J115,0)</f>
        <v>640</v>
      </c>
      <c r="G18" s="151" t="s">
        <v>14</v>
      </c>
      <c r="H18" s="614">
        <f>IF('Gårdens info'!$G$25&gt;0,F18/'Gårdens info'!$G$25,0)</f>
        <v>0.14222222222222222</v>
      </c>
      <c r="I18" s="151" t="s">
        <v>6</v>
      </c>
      <c r="J18" s="298">
        <f>F18*'Gårdens info'!$D$25</f>
        <v>640</v>
      </c>
      <c r="K18" s="151" t="s">
        <v>491</v>
      </c>
      <c r="L18" s="297"/>
      <c r="M18" s="300"/>
      <c r="N18" s="446"/>
      <c r="O18" s="946" t="s">
        <v>196</v>
      </c>
      <c r="P18" s="946"/>
      <c r="Q18" s="946"/>
      <c r="R18" s="153"/>
      <c r="S18" s="450">
        <f>SUM(S10:S17)</f>
        <v>0.99999999999999989</v>
      </c>
      <c r="T18" s="153"/>
      <c r="U18" s="295"/>
    </row>
    <row r="19" spans="1:26" s="91" customFormat="1" ht="15.6" x14ac:dyDescent="0.3">
      <c r="A19" s="388"/>
      <c r="B19" s="296"/>
      <c r="C19" s="289" t="s">
        <v>393</v>
      </c>
      <c r="D19" s="297"/>
      <c r="E19" s="297"/>
      <c r="F19" s="298">
        <f>IF('Gårdens info'!D25&gt;0,J128,0)</f>
        <v>149.1</v>
      </c>
      <c r="G19" s="151" t="s">
        <v>14</v>
      </c>
      <c r="H19" s="614">
        <f>IF('Gårdens info'!$G$25&gt;0,F19/'Gårdens info'!$G$25,0)</f>
        <v>3.3133333333333334E-2</v>
      </c>
      <c r="I19" s="151" t="s">
        <v>6</v>
      </c>
      <c r="J19" s="298">
        <f>F19*'Gårdens info'!$D$25</f>
        <v>149.1</v>
      </c>
      <c r="K19" s="151" t="s">
        <v>491</v>
      </c>
      <c r="L19" s="297"/>
      <c r="M19" s="300"/>
      <c r="N19" s="288"/>
      <c r="O19" s="451" t="str">
        <f>IF(S18=100%," ","HUOM! Osuus myyynneistä pitää summautua 100 prosenttiin")</f>
        <v xml:space="preserve"> </v>
      </c>
      <c r="P19" s="151"/>
      <c r="R19" s="151"/>
      <c r="S19" s="151"/>
      <c r="T19" s="151"/>
      <c r="U19" s="300"/>
    </row>
    <row r="20" spans="1:26" s="91" customFormat="1" ht="15.6" thickBot="1" x14ac:dyDescent="0.3">
      <c r="A20" s="388"/>
      <c r="B20" s="296"/>
      <c r="C20" s="289" t="s">
        <v>394</v>
      </c>
      <c r="D20" s="297"/>
      <c r="E20" s="297"/>
      <c r="F20" s="298">
        <f>IF('Gårdens info'!D25&gt;0,J136,0)</f>
        <v>1350</v>
      </c>
      <c r="G20" s="151" t="s">
        <v>14</v>
      </c>
      <c r="H20" s="614">
        <f>IF('Gårdens info'!$G$25&gt;0,F20/'Gårdens info'!$G$25,0)</f>
        <v>0.3</v>
      </c>
      <c r="I20" s="151" t="s">
        <v>6</v>
      </c>
      <c r="J20" s="298">
        <f>F20*'Gårdens info'!$D$25</f>
        <v>1350</v>
      </c>
      <c r="K20" s="151" t="s">
        <v>491</v>
      </c>
      <c r="L20" s="297"/>
      <c r="M20" s="300"/>
      <c r="N20" s="447"/>
      <c r="O20" s="448"/>
      <c r="P20" s="448"/>
      <c r="Q20" s="448"/>
      <c r="R20" s="448"/>
      <c r="S20" s="448"/>
      <c r="T20" s="448"/>
      <c r="U20" s="449"/>
    </row>
    <row r="21" spans="1:26" s="91" customFormat="1" ht="15" x14ac:dyDescent="0.25">
      <c r="A21" s="388"/>
      <c r="B21" s="296"/>
      <c r="C21" s="289" t="s">
        <v>387</v>
      </c>
      <c r="D21" s="297"/>
      <c r="E21" s="297"/>
      <c r="F21" s="298">
        <f>IF('Gårdens info'!D25&gt;0,J144,0)</f>
        <v>0</v>
      </c>
      <c r="G21" s="151" t="s">
        <v>14</v>
      </c>
      <c r="H21" s="614">
        <f>IF('Gårdens info'!$G$25&gt;0,F21/'Gårdens info'!$G$25,0)</f>
        <v>0</v>
      </c>
      <c r="I21" s="151" t="s">
        <v>6</v>
      </c>
      <c r="J21" s="298">
        <f>F21*'Gårdens info'!$D$25</f>
        <v>0</v>
      </c>
      <c r="K21" s="151" t="s">
        <v>491</v>
      </c>
      <c r="L21" s="297"/>
      <c r="M21" s="300"/>
    </row>
    <row r="22" spans="1:26" ht="15" x14ac:dyDescent="0.25">
      <c r="B22" s="296"/>
      <c r="C22" s="289" t="s">
        <v>249</v>
      </c>
      <c r="D22" s="297"/>
      <c r="E22" s="297"/>
      <c r="F22" s="298">
        <f>IF('Gårdens info'!D25&gt;0,J156,0)</f>
        <v>1090.2079999999999</v>
      </c>
      <c r="G22" s="151" t="s">
        <v>14</v>
      </c>
      <c r="H22" s="614">
        <f>IF('Gårdens info'!$G$25&gt;0,F22/'Gårdens info'!$G$25,0)</f>
        <v>0.24226844444444443</v>
      </c>
      <c r="I22" s="151" t="s">
        <v>6</v>
      </c>
      <c r="J22" s="298">
        <f>F22*'Gårdens info'!$D$25</f>
        <v>1090.2079999999999</v>
      </c>
      <c r="K22" s="151" t="s">
        <v>491</v>
      </c>
      <c r="L22" s="297"/>
      <c r="M22" s="300"/>
      <c r="N22" s="91"/>
      <c r="O22" s="91"/>
      <c r="P22" s="91"/>
      <c r="Q22" s="91"/>
      <c r="R22" s="91"/>
      <c r="S22" s="91"/>
      <c r="T22" s="91"/>
      <c r="U22" s="91"/>
    </row>
    <row r="23" spans="1:26" s="77" customFormat="1" ht="17.399999999999999" x14ac:dyDescent="0.3">
      <c r="A23" s="387"/>
      <c r="B23" s="296"/>
      <c r="C23" s="289" t="s">
        <v>250</v>
      </c>
      <c r="D23" s="297"/>
      <c r="E23" s="297"/>
      <c r="F23" s="298">
        <f>IF('Gårdens info'!D25&gt;0,L182,0)</f>
        <v>1160</v>
      </c>
      <c r="G23" s="151" t="s">
        <v>14</v>
      </c>
      <c r="H23" s="614">
        <f>IF('Gårdens info'!$G$25&gt;0,F23/'Gårdens info'!$G$25,0)</f>
        <v>0.25777777777777777</v>
      </c>
      <c r="I23" s="151" t="s">
        <v>6</v>
      </c>
      <c r="J23" s="298">
        <f>F23*'Gårdens info'!$D$25</f>
        <v>1160</v>
      </c>
      <c r="K23" s="151" t="s">
        <v>491</v>
      </c>
      <c r="L23" s="297"/>
      <c r="M23" s="300"/>
      <c r="N23"/>
      <c r="O23"/>
      <c r="P23"/>
      <c r="Q23"/>
      <c r="R23"/>
      <c r="S23"/>
      <c r="T23"/>
      <c r="U23"/>
    </row>
    <row r="24" spans="1:26" s="91" customFormat="1" ht="17.399999999999999" x14ac:dyDescent="0.3">
      <c r="A24" s="388"/>
      <c r="B24" s="312"/>
      <c r="C24" s="301" t="s">
        <v>196</v>
      </c>
      <c r="D24" s="302"/>
      <c r="E24" s="302"/>
      <c r="F24" s="303">
        <f>SUM(F15:F23)</f>
        <v>11611.608000000002</v>
      </c>
      <c r="G24" s="304" t="s">
        <v>14</v>
      </c>
      <c r="H24" s="615">
        <f>SUM(H15:H23)</f>
        <v>2.5803573333333332</v>
      </c>
      <c r="I24" s="304" t="s">
        <v>6</v>
      </c>
      <c r="J24" s="303">
        <f>SUM(J15:J23)</f>
        <v>11611.608000000002</v>
      </c>
      <c r="K24" s="304" t="s">
        <v>491</v>
      </c>
      <c r="L24" s="302"/>
      <c r="M24" s="313"/>
      <c r="N24" s="77"/>
      <c r="O24" s="77"/>
      <c r="P24" s="77"/>
      <c r="Q24" s="77"/>
      <c r="R24" s="77"/>
      <c r="S24" s="77"/>
      <c r="T24" s="77"/>
      <c r="U24" s="77"/>
    </row>
    <row r="25" spans="1:26" s="91" customFormat="1" ht="17.399999999999999" x14ac:dyDescent="0.3">
      <c r="A25" s="388"/>
      <c r="B25" s="292"/>
      <c r="C25" s="306"/>
      <c r="D25" s="307"/>
      <c r="E25" s="307"/>
      <c r="F25" s="308"/>
      <c r="G25" s="151"/>
      <c r="H25" s="307"/>
      <c r="I25" s="307"/>
      <c r="J25" s="307"/>
      <c r="K25" s="307"/>
      <c r="L25" s="307"/>
      <c r="M25" s="287"/>
    </row>
    <row r="26" spans="1:26" s="91" customFormat="1" ht="17.399999999999999" x14ac:dyDescent="0.3">
      <c r="A26" s="388"/>
      <c r="B26" s="947" t="s">
        <v>493</v>
      </c>
      <c r="C26" s="948"/>
      <c r="D26" s="948"/>
      <c r="E26" s="948"/>
      <c r="F26" s="325">
        <f>IF('Gårdens info'!D25&gt;0,J26/'Gårdens info'!D25,0)</f>
        <v>414.81481481481484</v>
      </c>
      <c r="G26" s="304" t="s">
        <v>14</v>
      </c>
      <c r="H26" s="617">
        <f>IF('Gårdens info'!G25&gt;0,F26/'Gårdens info'!G25,0)</f>
        <v>9.2181069958847742E-2</v>
      </c>
      <c r="I26" s="304" t="s">
        <v>6</v>
      </c>
      <c r="J26" s="320">
        <f>'Gårdens info'!G147/'Gårdens info'!D37*'Gårdens info'!D25</f>
        <v>414.81481481481484</v>
      </c>
      <c r="K26" s="304" t="s">
        <v>491</v>
      </c>
      <c r="L26" s="327"/>
      <c r="M26" s="321"/>
    </row>
    <row r="27" spans="1:26" s="91" customFormat="1" ht="17.399999999999999" x14ac:dyDescent="0.3">
      <c r="A27" s="388"/>
      <c r="B27" s="949" t="s">
        <v>494</v>
      </c>
      <c r="C27" s="950"/>
      <c r="D27" s="950"/>
      <c r="E27" s="950"/>
      <c r="F27" s="325">
        <f>'Gårdens info'!$G$42*'Gårdens info'!$D$42/'Gårdens info'!$D$37*'Gårdens info'!D25</f>
        <v>44.444444444444443</v>
      </c>
      <c r="G27" s="304" t="s">
        <v>14</v>
      </c>
      <c r="H27" s="617">
        <f>IF('Gårdens info'!G25&gt;0,F27/'Gårdens info'!G25,0)</f>
        <v>9.876543209876543E-3</v>
      </c>
      <c r="I27" s="304" t="s">
        <v>6</v>
      </c>
      <c r="J27" s="320">
        <f>F27*'Gårdens info'!D25</f>
        <v>44.444444444444443</v>
      </c>
      <c r="K27" s="304" t="s">
        <v>491</v>
      </c>
      <c r="L27" s="327"/>
      <c r="M27" s="321"/>
    </row>
    <row r="28" spans="1:26" s="91" customFormat="1" ht="21" x14ac:dyDescent="0.4">
      <c r="A28" s="388"/>
      <c r="B28" s="932" t="s">
        <v>226</v>
      </c>
      <c r="C28" s="933"/>
      <c r="D28" s="933"/>
      <c r="E28" s="324"/>
      <c r="F28" s="328">
        <f>F24+F26+F27</f>
        <v>12070.867259259263</v>
      </c>
      <c r="G28" s="329" t="s">
        <v>14</v>
      </c>
      <c r="H28" s="706">
        <f>H24+H26+H27</f>
        <v>2.6824149465020573</v>
      </c>
      <c r="I28" s="329" t="s">
        <v>6</v>
      </c>
      <c r="J28" s="328">
        <f>J24+J26+J27</f>
        <v>12070.867259259263</v>
      </c>
      <c r="K28" s="329" t="s">
        <v>491</v>
      </c>
      <c r="L28" s="329"/>
      <c r="M28" s="321"/>
      <c r="Y28" s="548" t="s">
        <v>2</v>
      </c>
      <c r="Z28" s="549">
        <f t="shared" ref="Z28:Z35" si="2">F16</f>
        <v>1443</v>
      </c>
    </row>
    <row r="29" spans="1:26" s="91" customFormat="1" ht="21" x14ac:dyDescent="0.4">
      <c r="A29" s="388"/>
      <c r="B29" s="351"/>
      <c r="C29" s="332"/>
      <c r="D29" s="332"/>
      <c r="E29" s="324"/>
      <c r="F29" s="328"/>
      <c r="G29" s="329"/>
      <c r="H29" s="330"/>
      <c r="I29" s="329"/>
      <c r="J29" s="331"/>
      <c r="K29" s="329"/>
      <c r="L29" s="329"/>
      <c r="M29" s="321"/>
      <c r="Y29" s="548" t="s">
        <v>37</v>
      </c>
      <c r="Z29" s="553">
        <f t="shared" si="2"/>
        <v>579.29999999999995</v>
      </c>
    </row>
    <row r="30" spans="1:26" s="91" customFormat="1" ht="21" x14ac:dyDescent="0.4">
      <c r="A30" s="388"/>
      <c r="B30" s="319" t="s">
        <v>495</v>
      </c>
      <c r="C30" s="286"/>
      <c r="D30" s="148"/>
      <c r="E30" s="148"/>
      <c r="F30" s="148"/>
      <c r="G30" s="148"/>
      <c r="H30" s="148"/>
      <c r="I30" s="148"/>
      <c r="J30" s="293"/>
      <c r="K30" s="148"/>
      <c r="L30" s="148"/>
      <c r="M30" s="287"/>
      <c r="Y30" s="548" t="s">
        <v>87</v>
      </c>
      <c r="Z30" s="553">
        <f t="shared" si="2"/>
        <v>640</v>
      </c>
    </row>
    <row r="31" spans="1:26" s="91" customFormat="1" ht="21" customHeight="1" x14ac:dyDescent="0.4">
      <c r="A31" s="388"/>
      <c r="B31" s="947" t="s">
        <v>149</v>
      </c>
      <c r="C31" s="948"/>
      <c r="D31" s="833"/>
      <c r="E31" s="324"/>
      <c r="F31" s="328"/>
      <c r="G31" s="329"/>
      <c r="H31" s="330"/>
      <c r="I31" s="329"/>
      <c r="J31" s="331"/>
      <c r="K31" s="329"/>
      <c r="L31" s="329"/>
      <c r="M31" s="321"/>
      <c r="Y31" s="548" t="s">
        <v>8</v>
      </c>
      <c r="Z31" s="549">
        <f t="shared" si="2"/>
        <v>149.1</v>
      </c>
    </row>
    <row r="32" spans="1:26" ht="21" x14ac:dyDescent="0.4">
      <c r="B32" s="350"/>
      <c r="C32" s="838" t="s">
        <v>264</v>
      </c>
      <c r="D32" s="833"/>
      <c r="E32" s="324"/>
      <c r="F32" s="338">
        <f>IF('Gårdens info'!$D$25&gt;0,J32/'Gårdens info'!$D$25,0)</f>
        <v>391.11111111111109</v>
      </c>
      <c r="G32" s="151" t="s">
        <v>14</v>
      </c>
      <c r="H32" s="613">
        <f>IF('Gårdens info'!$G$25&gt;0,F32/'Gårdens info'!$G$25,0)</f>
        <v>8.6913580246913577E-2</v>
      </c>
      <c r="I32" s="151" t="s">
        <v>6</v>
      </c>
      <c r="J32" s="298">
        <f>Ägendom!AU22</f>
        <v>391.11111111111109</v>
      </c>
      <c r="K32" s="151" t="s">
        <v>491</v>
      </c>
      <c r="L32" s="329"/>
      <c r="M32" s="321"/>
      <c r="N32" s="91"/>
      <c r="O32" s="91"/>
      <c r="P32" s="91"/>
      <c r="Q32" s="91"/>
      <c r="R32" s="91"/>
      <c r="S32" s="91"/>
      <c r="T32" s="91"/>
      <c r="U32" s="91"/>
      <c r="Y32" s="548" t="s">
        <v>38</v>
      </c>
      <c r="Z32" s="549">
        <f t="shared" si="2"/>
        <v>1350</v>
      </c>
    </row>
    <row r="33" spans="1:26" s="77" customFormat="1" ht="21" x14ac:dyDescent="0.4">
      <c r="A33" s="387"/>
      <c r="B33" s="350"/>
      <c r="C33" s="838" t="s">
        <v>265</v>
      </c>
      <c r="D33" s="833"/>
      <c r="E33" s="324"/>
      <c r="F33" s="338">
        <f>IF('Gårdens info'!$D$25&gt;0,J33/'Gårdens info'!$D$25,0)</f>
        <v>244.44444444444443</v>
      </c>
      <c r="G33" s="151" t="s">
        <v>14</v>
      </c>
      <c r="H33" s="613">
        <f>IF('Gårdens info'!$G$25&gt;0,F33/'Gårdens info'!$G$25,0)</f>
        <v>5.4320987654320987E-2</v>
      </c>
      <c r="I33" s="151" t="s">
        <v>6</v>
      </c>
      <c r="J33" s="298">
        <f>Ägendom!BQ22</f>
        <v>244.44444444444443</v>
      </c>
      <c r="K33" s="151" t="s">
        <v>491</v>
      </c>
      <c r="L33" s="329"/>
      <c r="M33" s="321"/>
      <c r="N33"/>
      <c r="O33"/>
      <c r="P33"/>
      <c r="Q33"/>
      <c r="R33"/>
      <c r="S33"/>
      <c r="T33"/>
      <c r="U33"/>
      <c r="Y33" s="548" t="s">
        <v>39</v>
      </c>
      <c r="Z33" s="550">
        <f t="shared" si="2"/>
        <v>0</v>
      </c>
    </row>
    <row r="34" spans="1:26" s="91" customFormat="1" ht="17.399999999999999" customHeight="1" x14ac:dyDescent="0.3">
      <c r="A34" s="388"/>
      <c r="B34" s="350"/>
      <c r="C34" s="941" t="s">
        <v>266</v>
      </c>
      <c r="D34" s="941"/>
      <c r="E34" s="324"/>
      <c r="F34" s="338">
        <f>IF('Gårdens info'!$D$25&gt;0,J34/'Gårdens info'!$D$25,0)</f>
        <v>97.777777777777771</v>
      </c>
      <c r="G34" s="151" t="s">
        <v>14</v>
      </c>
      <c r="H34" s="613">
        <f>IF('Gårdens info'!$G$25&gt;0,F34/'Gårdens info'!$G$25,0)</f>
        <v>2.1728395061728394E-2</v>
      </c>
      <c r="I34" s="151" t="s">
        <v>6</v>
      </c>
      <c r="J34" s="298">
        <f>Ägendom!CM22</f>
        <v>97.777777777777771</v>
      </c>
      <c r="K34" s="151" t="s">
        <v>491</v>
      </c>
      <c r="L34" s="329"/>
      <c r="M34" s="321"/>
      <c r="N34" s="77"/>
      <c r="O34" s="77"/>
      <c r="P34" s="77"/>
      <c r="Q34" s="77"/>
      <c r="R34" s="77"/>
      <c r="S34" s="77"/>
      <c r="T34" s="77"/>
      <c r="U34" s="77"/>
      <c r="Y34" s="548" t="s">
        <v>3</v>
      </c>
      <c r="Z34" s="634">
        <f t="shared" si="2"/>
        <v>1090.2079999999999</v>
      </c>
    </row>
    <row r="35" spans="1:26" s="91" customFormat="1" ht="21" x14ac:dyDescent="0.4">
      <c r="A35" s="388"/>
      <c r="B35" s="350"/>
      <c r="C35" s="838" t="s">
        <v>399</v>
      </c>
      <c r="D35" s="833"/>
      <c r="E35" s="324"/>
      <c r="F35" s="338">
        <f>IF('Gårdens info'!$D$25&gt;0,J35/'Gårdens info'!$D$25,0)</f>
        <v>19.555555555555554</v>
      </c>
      <c r="G35" s="151" t="s">
        <v>14</v>
      </c>
      <c r="H35" s="613">
        <f>IF('Gårdens info'!$G$25&gt;0,F35/'Gårdens info'!$G$25,0)</f>
        <v>4.3456790123456782E-3</v>
      </c>
      <c r="I35" s="151" t="s">
        <v>6</v>
      </c>
      <c r="J35" s="298">
        <f>Ägendom!DI22</f>
        <v>19.555555555555554</v>
      </c>
      <c r="K35" s="151" t="s">
        <v>491</v>
      </c>
      <c r="L35" s="329"/>
      <c r="M35" s="321"/>
      <c r="Y35" s="548" t="s">
        <v>35</v>
      </c>
      <c r="Z35" s="552">
        <f t="shared" si="2"/>
        <v>1160</v>
      </c>
    </row>
    <row r="36" spans="1:26" s="91" customFormat="1" ht="20.399999999999999" x14ac:dyDescent="0.35">
      <c r="A36" s="388"/>
      <c r="B36" s="352"/>
      <c r="C36" s="340" t="s">
        <v>196</v>
      </c>
      <c r="D36" s="341"/>
      <c r="E36" s="324"/>
      <c r="F36" s="342">
        <f>SUM(F32:F35)</f>
        <v>752.8888888888888</v>
      </c>
      <c r="G36" s="151" t="s">
        <v>14</v>
      </c>
      <c r="H36" s="620">
        <f t="shared" ref="H36:J36" si="3">SUM(H32:H35)</f>
        <v>0.16730864197530862</v>
      </c>
      <c r="I36" s="151" t="s">
        <v>6</v>
      </c>
      <c r="J36" s="342">
        <f t="shared" si="3"/>
        <v>752.8888888888888</v>
      </c>
      <c r="K36" s="151" t="s">
        <v>491</v>
      </c>
      <c r="L36" s="343"/>
      <c r="M36" s="321"/>
      <c r="Y36" s="457" t="s">
        <v>17</v>
      </c>
      <c r="Z36" s="552">
        <f>F26</f>
        <v>414.81481481481484</v>
      </c>
    </row>
    <row r="37" spans="1:26" s="91" customFormat="1" ht="21" x14ac:dyDescent="0.4">
      <c r="A37" s="388"/>
      <c r="B37" s="350"/>
      <c r="C37" s="838"/>
      <c r="D37" s="833"/>
      <c r="E37" s="324"/>
      <c r="F37" s="338"/>
      <c r="G37" s="151"/>
      <c r="H37" s="339"/>
      <c r="I37" s="151"/>
      <c r="J37" s="298"/>
      <c r="K37" s="151"/>
      <c r="L37" s="329"/>
      <c r="M37" s="321"/>
      <c r="Y37" s="457" t="s">
        <v>51</v>
      </c>
      <c r="Z37" s="552">
        <f>F27</f>
        <v>44.444444444444443</v>
      </c>
    </row>
    <row r="38" spans="1:26" s="91" customFormat="1" ht="17.399999999999999" customHeight="1" x14ac:dyDescent="0.3">
      <c r="A38" s="388"/>
      <c r="B38" s="970" t="s">
        <v>400</v>
      </c>
      <c r="C38" s="971"/>
      <c r="D38" s="971"/>
      <c r="E38" s="324"/>
      <c r="F38" s="338"/>
      <c r="G38" s="151"/>
      <c r="H38" s="339"/>
      <c r="I38" s="151"/>
      <c r="J38" s="298"/>
      <c r="K38" s="151"/>
      <c r="L38" s="329"/>
      <c r="M38" s="321"/>
      <c r="Y38" s="457" t="s">
        <v>12</v>
      </c>
      <c r="Z38" s="553">
        <f>F36</f>
        <v>752.8888888888888</v>
      </c>
    </row>
    <row r="39" spans="1:26" s="91" customFormat="1" ht="21" x14ac:dyDescent="0.4">
      <c r="A39" s="388"/>
      <c r="B39" s="350"/>
      <c r="C39" s="838" t="s">
        <v>264</v>
      </c>
      <c r="D39" s="833"/>
      <c r="E39" s="324"/>
      <c r="F39" s="338">
        <f>IF('Gårdens info'!$D$25&gt;0,J39/'Gårdens info'!$D$25,0)</f>
        <v>150.8641975308642</v>
      </c>
      <c r="G39" s="151" t="s">
        <v>14</v>
      </c>
      <c r="H39" s="613">
        <f>IF('Gårdens info'!$G$25&gt;0,F39/'Gårdens info'!$G$25,0)</f>
        <v>3.3525377229080937E-2</v>
      </c>
      <c r="I39" s="151" t="s">
        <v>6</v>
      </c>
      <c r="J39" s="298">
        <f>Ägendom!AU51</f>
        <v>150.8641975308642</v>
      </c>
      <c r="K39" s="151" t="s">
        <v>491</v>
      </c>
      <c r="L39" s="329"/>
      <c r="M39" s="321"/>
      <c r="Y39" s="457" t="s">
        <v>13</v>
      </c>
      <c r="Z39" s="553">
        <f>F43</f>
        <v>357.60123456790126</v>
      </c>
    </row>
    <row r="40" spans="1:26" s="91" customFormat="1" ht="21" x14ac:dyDescent="0.4">
      <c r="A40" s="388"/>
      <c r="B40" s="350"/>
      <c r="C40" s="838" t="s">
        <v>265</v>
      </c>
      <c r="D40" s="833"/>
      <c r="E40" s="324"/>
      <c r="F40" s="338">
        <f>IF('Gårdens info'!$D$25&gt;0,J40/'Gårdens info'!$D$25,0)</f>
        <v>56.574074074074076</v>
      </c>
      <c r="G40" s="151" t="s">
        <v>14</v>
      </c>
      <c r="H40" s="613">
        <f>IF('Gårdens info'!$G$25&gt;0,F40/'Gårdens info'!$G$25,0)</f>
        <v>1.257201646090535E-2</v>
      </c>
      <c r="I40" s="151" t="s">
        <v>6</v>
      </c>
      <c r="J40" s="298">
        <f>Ägendom!BQ51</f>
        <v>56.574074074074076</v>
      </c>
      <c r="K40" s="151" t="s">
        <v>491</v>
      </c>
      <c r="L40" s="329"/>
      <c r="M40" s="321"/>
      <c r="Y40" s="457" t="s">
        <v>58</v>
      </c>
      <c r="Z40" s="553">
        <f>F50</f>
        <v>459.23280952380958</v>
      </c>
    </row>
    <row r="41" spans="1:26" s="236" customFormat="1" ht="17.399999999999999" customHeight="1" x14ac:dyDescent="0.3">
      <c r="A41" s="389"/>
      <c r="B41" s="350"/>
      <c r="C41" s="941" t="s">
        <v>266</v>
      </c>
      <c r="D41" s="941"/>
      <c r="E41" s="324"/>
      <c r="F41" s="338">
        <f>IF('Gårdens info'!$D$25&gt;0,J41/'Gårdens info'!$D$25,0)</f>
        <v>140.77777777777774</v>
      </c>
      <c r="G41" s="151" t="s">
        <v>14</v>
      </c>
      <c r="H41" s="613">
        <f>IF('Gårdens info'!$G$25&gt;0,F41/'Gårdens info'!$G$25,0)</f>
        <v>3.1283950617283944E-2</v>
      </c>
      <c r="I41" s="151" t="s">
        <v>6</v>
      </c>
      <c r="J41" s="298">
        <f>Ägendom!CM51</f>
        <v>140.77777777777774</v>
      </c>
      <c r="K41" s="151" t="s">
        <v>491</v>
      </c>
      <c r="L41" s="329"/>
      <c r="M41" s="321"/>
      <c r="N41" s="91"/>
      <c r="O41" s="91"/>
      <c r="P41" s="91"/>
      <c r="Q41" s="91"/>
      <c r="R41" s="91"/>
      <c r="S41" s="91"/>
      <c r="T41" s="91"/>
      <c r="U41" s="91"/>
      <c r="Y41" s="457" t="s">
        <v>23</v>
      </c>
      <c r="Z41" s="553">
        <f>F56</f>
        <v>22.222222222222221</v>
      </c>
    </row>
    <row r="42" spans="1:26" ht="21" x14ac:dyDescent="0.4">
      <c r="B42" s="350"/>
      <c r="C42" s="838" t="s">
        <v>399</v>
      </c>
      <c r="D42" s="833"/>
      <c r="E42" s="324"/>
      <c r="F42" s="338">
        <f>IF('Gårdens info'!$D$25&gt;0,J42/'Gårdens info'!$D$25,0)</f>
        <v>9.3851851851851844</v>
      </c>
      <c r="G42" s="151" t="s">
        <v>14</v>
      </c>
      <c r="H42" s="613">
        <f>IF('Gårdens info'!$G$25&gt;0,F42/'Gårdens info'!$G$25,0)</f>
        <v>2.0855967078189297E-3</v>
      </c>
      <c r="I42" s="151" t="s">
        <v>6</v>
      </c>
      <c r="J42" s="298">
        <f>Ägendom!DI51</f>
        <v>9.3851851851851844</v>
      </c>
      <c r="K42" s="151" t="s">
        <v>491</v>
      </c>
      <c r="L42" s="329"/>
      <c r="M42" s="321"/>
      <c r="N42" s="236"/>
      <c r="O42" s="236"/>
      <c r="P42" s="236"/>
      <c r="Q42" s="236"/>
      <c r="R42" s="236"/>
      <c r="S42" s="236"/>
      <c r="T42" s="236"/>
      <c r="U42" s="236"/>
      <c r="Y42" s="457" t="s">
        <v>44</v>
      </c>
      <c r="Z42" s="553">
        <f>F61</f>
        <v>2552</v>
      </c>
    </row>
    <row r="43" spans="1:26" ht="20.399999999999999" x14ac:dyDescent="0.35">
      <c r="B43" s="352"/>
      <c r="C43" s="340" t="s">
        <v>196</v>
      </c>
      <c r="D43" s="341"/>
      <c r="E43" s="324"/>
      <c r="F43" s="342">
        <f>SUM(F39:F42)</f>
        <v>357.60123456790126</v>
      </c>
      <c r="G43" s="151" t="s">
        <v>14</v>
      </c>
      <c r="H43" s="620">
        <f t="shared" ref="H43:J43" si="4">SUM(H39:H42)</f>
        <v>7.9466941015089151E-2</v>
      </c>
      <c r="I43" s="151" t="s">
        <v>6</v>
      </c>
      <c r="J43" s="342">
        <f t="shared" si="4"/>
        <v>357.60123456790126</v>
      </c>
      <c r="K43" s="151" t="s">
        <v>491</v>
      </c>
      <c r="L43" s="343"/>
      <c r="M43" s="321"/>
      <c r="Y43" s="236"/>
      <c r="Z43" s="236"/>
    </row>
    <row r="44" spans="1:26" ht="21" x14ac:dyDescent="0.4">
      <c r="B44" s="350"/>
      <c r="C44" s="838"/>
      <c r="D44" s="833"/>
      <c r="E44" s="324"/>
      <c r="F44" s="338"/>
      <c r="G44" s="151"/>
      <c r="H44" s="339"/>
      <c r="I44" s="151"/>
      <c r="J44" s="298"/>
      <c r="K44" s="151"/>
      <c r="L44" s="329"/>
      <c r="M44" s="321"/>
    </row>
    <row r="45" spans="1:26" s="91" customFormat="1" ht="17.399999999999999" customHeight="1" x14ac:dyDescent="0.3">
      <c r="A45" s="388"/>
      <c r="B45" s="947" t="s">
        <v>151</v>
      </c>
      <c r="C45" s="948"/>
      <c r="D45" s="948"/>
      <c r="E45" s="324"/>
      <c r="F45" s="338"/>
      <c r="G45" s="151"/>
      <c r="H45" s="339"/>
      <c r="I45" s="151"/>
      <c r="J45" s="298"/>
      <c r="K45" s="151"/>
      <c r="L45" s="329"/>
      <c r="M45" s="321"/>
      <c r="N45"/>
      <c r="O45"/>
      <c r="P45"/>
      <c r="Q45"/>
      <c r="R45"/>
      <c r="S45"/>
      <c r="T45"/>
      <c r="U45"/>
      <c r="Y45"/>
      <c r="Z45"/>
    </row>
    <row r="46" spans="1:26" s="91" customFormat="1" ht="21" x14ac:dyDescent="0.4">
      <c r="A46" s="388"/>
      <c r="B46" s="350"/>
      <c r="C46" s="838" t="s">
        <v>264</v>
      </c>
      <c r="D46" s="833"/>
      <c r="E46" s="324"/>
      <c r="F46" s="338">
        <f>IF('Gårdens info'!$D$25&gt;0,J46/'Gårdens info'!$D$25,0)</f>
        <v>298.52380952380952</v>
      </c>
      <c r="G46" s="151" t="s">
        <v>14</v>
      </c>
      <c r="H46" s="613">
        <f>IF('Gårdens info'!$G$25&gt;0,F46/'Gårdens info'!$G$25,0)</f>
        <v>6.6338624338624336E-2</v>
      </c>
      <c r="I46" s="151" t="s">
        <v>6</v>
      </c>
      <c r="J46" s="298">
        <f>Ägendom!AU76</f>
        <v>298.52380952380952</v>
      </c>
      <c r="K46" s="151" t="s">
        <v>491</v>
      </c>
      <c r="L46" s="329"/>
      <c r="M46" s="321"/>
      <c r="Y46"/>
      <c r="Z46"/>
    </row>
    <row r="47" spans="1:26" s="91" customFormat="1" ht="21" x14ac:dyDescent="0.4">
      <c r="A47" s="388"/>
      <c r="B47" s="350"/>
      <c r="C47" s="838" t="s">
        <v>265</v>
      </c>
      <c r="D47" s="833"/>
      <c r="E47" s="324"/>
      <c r="F47" s="338">
        <f>IF('Gårdens info'!$D$25&gt;0,J47/'Gårdens info'!$D$25,0)</f>
        <v>42.484523809523814</v>
      </c>
      <c r="G47" s="151" t="s">
        <v>14</v>
      </c>
      <c r="H47" s="613">
        <f>IF('Gårdens info'!$G$25&gt;0,F47/'Gårdens info'!$G$25,0)</f>
        <v>9.4410052910052916E-3</v>
      </c>
      <c r="I47" s="151" t="s">
        <v>6</v>
      </c>
      <c r="J47" s="298">
        <f>Ägendom!BQ76</f>
        <v>42.484523809523814</v>
      </c>
      <c r="K47" s="151" t="s">
        <v>491</v>
      </c>
      <c r="L47" s="329"/>
      <c r="M47" s="321"/>
    </row>
    <row r="48" spans="1:26" s="8" customFormat="1" ht="17.399999999999999" customHeight="1" x14ac:dyDescent="0.3">
      <c r="A48" s="386"/>
      <c r="B48" s="350"/>
      <c r="C48" s="941" t="s">
        <v>266</v>
      </c>
      <c r="D48" s="941"/>
      <c r="E48" s="324"/>
      <c r="F48" s="338">
        <f>IF('Gårdens info'!$D$25&gt;0,J48/'Gårdens info'!$D$25,0)</f>
        <v>113.67738095238096</v>
      </c>
      <c r="G48" s="151" t="s">
        <v>14</v>
      </c>
      <c r="H48" s="613">
        <f>IF('Gårdens info'!$G$25&gt;0,F48/'Gårdens info'!$G$25,0)</f>
        <v>2.5261640211640214E-2</v>
      </c>
      <c r="I48" s="151" t="s">
        <v>6</v>
      </c>
      <c r="J48" s="298">
        <f>Ägendom!CM76</f>
        <v>113.67738095238096</v>
      </c>
      <c r="K48" s="151" t="s">
        <v>491</v>
      </c>
      <c r="L48" s="329"/>
      <c r="M48" s="321"/>
      <c r="N48" s="91"/>
      <c r="O48" s="91"/>
      <c r="P48" s="91"/>
      <c r="Q48" s="91"/>
      <c r="R48" s="91"/>
      <c r="S48" s="91"/>
      <c r="T48" s="91"/>
      <c r="U48" s="91"/>
      <c r="Y48" s="91"/>
      <c r="Z48" s="91"/>
    </row>
    <row r="49" spans="1:26" s="8" customFormat="1" ht="21" x14ac:dyDescent="0.4">
      <c r="A49" s="386"/>
      <c r="B49" s="350"/>
      <c r="C49" s="838" t="s">
        <v>399</v>
      </c>
      <c r="D49" s="833"/>
      <c r="E49" s="324"/>
      <c r="F49" s="338">
        <f>IF('Gårdens info'!$D$25&gt;0,J49/'Gårdens info'!$D$25,0)</f>
        <v>4.5470952380952383</v>
      </c>
      <c r="G49" s="151" t="s">
        <v>14</v>
      </c>
      <c r="H49" s="613">
        <f>IF('Gårdens info'!$G$25&gt;0,F49/'Gårdens info'!$G$25,0)</f>
        <v>1.0104656084656085E-3</v>
      </c>
      <c r="I49" s="151" t="s">
        <v>6</v>
      </c>
      <c r="J49" s="298">
        <f>Ägendom!DI76</f>
        <v>4.5470952380952383</v>
      </c>
      <c r="K49" s="151" t="s">
        <v>491</v>
      </c>
      <c r="L49" s="329"/>
      <c r="M49" s="321"/>
      <c r="Y49" s="91"/>
      <c r="Z49" s="91"/>
    </row>
    <row r="50" spans="1:26" s="8" customFormat="1" ht="20.399999999999999" x14ac:dyDescent="0.35">
      <c r="A50" s="386"/>
      <c r="B50" s="352"/>
      <c r="C50" s="340" t="s">
        <v>196</v>
      </c>
      <c r="D50" s="341"/>
      <c r="E50" s="324"/>
      <c r="F50" s="342">
        <f>SUM(F46:F49)</f>
        <v>459.23280952380958</v>
      </c>
      <c r="G50" s="151" t="s">
        <v>14</v>
      </c>
      <c r="H50" s="620">
        <f t="shared" ref="H50:J50" si="5">SUM(H46:H49)</f>
        <v>0.10205173544973546</v>
      </c>
      <c r="I50" s="151" t="s">
        <v>6</v>
      </c>
      <c r="J50" s="342">
        <f t="shared" si="5"/>
        <v>459.23280952380958</v>
      </c>
      <c r="K50" s="151" t="s">
        <v>491</v>
      </c>
      <c r="L50" s="343"/>
      <c r="M50" s="321"/>
    </row>
    <row r="51" spans="1:26" s="8" customFormat="1" ht="21" x14ac:dyDescent="0.4">
      <c r="A51" s="386"/>
      <c r="B51" s="350"/>
      <c r="C51" s="838"/>
      <c r="D51" s="833"/>
      <c r="E51" s="324"/>
      <c r="F51" s="338"/>
      <c r="G51" s="151"/>
      <c r="H51" s="339"/>
      <c r="I51" s="151"/>
      <c r="J51" s="298"/>
      <c r="K51" s="151"/>
      <c r="L51" s="329"/>
      <c r="M51" s="321"/>
    </row>
    <row r="52" spans="1:26" s="8" customFormat="1" ht="21" customHeight="1" x14ac:dyDescent="0.4">
      <c r="A52" s="386"/>
      <c r="B52" s="951" t="s">
        <v>160</v>
      </c>
      <c r="C52" s="952"/>
      <c r="D52" s="833"/>
      <c r="E52" s="324"/>
      <c r="F52" s="338"/>
      <c r="G52" s="151"/>
      <c r="H52" s="339"/>
      <c r="I52" s="151"/>
      <c r="J52" s="298"/>
      <c r="K52" s="151"/>
      <c r="L52" s="329"/>
      <c r="M52" s="321"/>
    </row>
    <row r="53" spans="1:26" s="8" customFormat="1" ht="43.05" customHeight="1" x14ac:dyDescent="0.4">
      <c r="A53" s="386"/>
      <c r="B53" s="350"/>
      <c r="C53" s="838" t="s">
        <v>264</v>
      </c>
      <c r="D53" s="833"/>
      <c r="E53" s="324"/>
      <c r="F53" s="338">
        <f>IF('Gårdens info'!$D$25&gt;0,J53/'Gårdens info'!$D$25,0)</f>
        <v>0</v>
      </c>
      <c r="G53" s="151" t="s">
        <v>14</v>
      </c>
      <c r="H53" s="613">
        <f>IF('Gårdens info'!$G$25&gt;0,F53/'Gårdens info'!$G$25,0)</f>
        <v>0</v>
      </c>
      <c r="I53" s="151" t="s">
        <v>6</v>
      </c>
      <c r="J53" s="298">
        <f>Ägendom!AU79</f>
        <v>0</v>
      </c>
      <c r="K53" s="151" t="s">
        <v>491</v>
      </c>
      <c r="L53" s="329"/>
      <c r="M53" s="321"/>
    </row>
    <row r="54" spans="1:26" ht="21" x14ac:dyDescent="0.4">
      <c r="B54" s="350"/>
      <c r="C54" s="838" t="s">
        <v>265</v>
      </c>
      <c r="D54" s="833"/>
      <c r="E54" s="324"/>
      <c r="F54" s="338">
        <f>IF('Gårdens info'!$D$25&gt;0,J54/'Gårdens info'!$D$25,0)</f>
        <v>0</v>
      </c>
      <c r="G54" s="151" t="s">
        <v>14</v>
      </c>
      <c r="H54" s="613">
        <f>IF('Gårdens info'!$G$25&gt;0,F54/'Gårdens info'!$G$25,0)</f>
        <v>0</v>
      </c>
      <c r="I54" s="151" t="s">
        <v>6</v>
      </c>
      <c r="J54" s="298">
        <f>Ägendom!BQ79</f>
        <v>0</v>
      </c>
      <c r="K54" s="151" t="s">
        <v>491</v>
      </c>
      <c r="L54" s="329"/>
      <c r="M54" s="321"/>
      <c r="N54" s="8"/>
      <c r="O54" s="8"/>
      <c r="P54" s="8"/>
      <c r="Q54" s="8"/>
      <c r="R54" s="8"/>
      <c r="S54" s="8"/>
      <c r="T54" s="8"/>
      <c r="U54" s="8"/>
      <c r="Y54" s="8"/>
      <c r="Z54" s="8"/>
    </row>
    <row r="55" spans="1:26" s="8" customFormat="1" ht="17.399999999999999" customHeight="1" x14ac:dyDescent="0.3">
      <c r="A55" s="386"/>
      <c r="B55" s="350"/>
      <c r="C55" s="941" t="s">
        <v>266</v>
      </c>
      <c r="D55" s="941"/>
      <c r="E55" s="324"/>
      <c r="F55" s="338">
        <f>IF('Gårdens info'!$D$25&gt;0,J55/'Gårdens info'!$D$25,0)</f>
        <v>22.222222222222221</v>
      </c>
      <c r="G55" s="151" t="s">
        <v>14</v>
      </c>
      <c r="H55" s="613">
        <f>IF('Gårdens info'!$G$25&gt;0,F55/'Gårdens info'!$G$25,0)</f>
        <v>4.9382716049382715E-3</v>
      </c>
      <c r="I55" s="151" t="s">
        <v>6</v>
      </c>
      <c r="J55" s="298">
        <f>Ägendom!CM79</f>
        <v>22.222222222222221</v>
      </c>
      <c r="K55" s="151" t="s">
        <v>491</v>
      </c>
      <c r="L55" s="329"/>
      <c r="M55" s="321"/>
      <c r="N55"/>
      <c r="O55"/>
      <c r="P55"/>
      <c r="Q55"/>
      <c r="R55"/>
      <c r="S55"/>
      <c r="T55"/>
      <c r="U55"/>
    </row>
    <row r="56" spans="1:26" s="8" customFormat="1" ht="15.6" x14ac:dyDescent="0.3">
      <c r="A56" s="386"/>
      <c r="B56" s="349"/>
      <c r="C56" s="323" t="s">
        <v>196</v>
      </c>
      <c r="D56" s="323"/>
      <c r="E56" s="323"/>
      <c r="F56" s="342">
        <f>SUM(F53:F55)</f>
        <v>22.222222222222221</v>
      </c>
      <c r="G56" s="151" t="s">
        <v>14</v>
      </c>
      <c r="H56" s="620">
        <f t="shared" ref="H56:J56" si="6">SUM(H53:H55)</f>
        <v>4.9382716049382715E-3</v>
      </c>
      <c r="I56" s="151" t="s">
        <v>6</v>
      </c>
      <c r="J56" s="342">
        <f t="shared" si="6"/>
        <v>22.222222222222221</v>
      </c>
      <c r="K56" s="151" t="s">
        <v>491</v>
      </c>
      <c r="L56" s="347"/>
      <c r="M56" s="353"/>
      <c r="Y56"/>
      <c r="Z56"/>
    </row>
    <row r="57" spans="1:26" s="8" customFormat="1" ht="21" customHeight="1" x14ac:dyDescent="0.4">
      <c r="A57" s="386"/>
      <c r="B57" s="932" t="s">
        <v>229</v>
      </c>
      <c r="C57" s="933"/>
      <c r="D57" s="933"/>
      <c r="E57" s="324"/>
      <c r="F57" s="328">
        <f>F36+F43+F50+F56</f>
        <v>1591.9451552028218</v>
      </c>
      <c r="G57" s="329" t="s">
        <v>14</v>
      </c>
      <c r="H57" s="618">
        <f>H36+H43+H50+H56</f>
        <v>0.35376559004507147</v>
      </c>
      <c r="I57" s="329" t="s">
        <v>6</v>
      </c>
      <c r="J57" s="331">
        <f>J36+J43+J50+J56</f>
        <v>1591.9451552028218</v>
      </c>
      <c r="K57" s="329" t="s">
        <v>491</v>
      </c>
      <c r="L57" s="329"/>
      <c r="M57" s="321"/>
    </row>
    <row r="58" spans="1:26" s="8" customFormat="1" ht="15.6" x14ac:dyDescent="0.3">
      <c r="A58" s="386"/>
      <c r="B58" s="349"/>
      <c r="C58" s="324"/>
      <c r="D58" s="324"/>
      <c r="E58" s="324"/>
      <c r="F58" s="325"/>
      <c r="G58" s="304"/>
      <c r="H58" s="326"/>
      <c r="I58" s="304"/>
      <c r="J58" s="320"/>
      <c r="K58" s="304"/>
      <c r="L58" s="327"/>
      <c r="M58" s="321"/>
    </row>
    <row r="59" spans="1:26" s="8" customFormat="1" ht="21" x14ac:dyDescent="0.4">
      <c r="A59" s="386"/>
      <c r="B59" s="319" t="s">
        <v>230</v>
      </c>
      <c r="C59" s="324"/>
      <c r="D59" s="324"/>
      <c r="E59" s="324"/>
      <c r="F59" s="325"/>
      <c r="G59" s="304"/>
      <c r="H59" s="326"/>
      <c r="I59" s="304"/>
      <c r="J59" s="320"/>
      <c r="K59" s="304"/>
      <c r="L59" s="327"/>
      <c r="M59" s="321"/>
    </row>
    <row r="60" spans="1:26" s="8" customFormat="1" ht="17.399999999999999" x14ac:dyDescent="0.3">
      <c r="A60" s="386"/>
      <c r="B60" s="612" t="s">
        <v>270</v>
      </c>
      <c r="C60" s="306"/>
      <c r="D60" s="310"/>
      <c r="E60" s="310"/>
      <c r="F60" s="311"/>
      <c r="G60" s="153"/>
      <c r="H60" s="310"/>
      <c r="I60" s="310"/>
      <c r="J60" s="310"/>
      <c r="K60" s="310"/>
      <c r="L60" s="310"/>
      <c r="M60" s="295"/>
    </row>
    <row r="61" spans="1:26" s="8" customFormat="1" ht="15" x14ac:dyDescent="0.25">
      <c r="A61" s="386"/>
      <c r="B61" s="296"/>
      <c r="C61" s="289" t="s">
        <v>44</v>
      </c>
      <c r="D61" s="297"/>
      <c r="E61" s="297"/>
      <c r="F61" s="298">
        <f>IF('Gårdens info'!D25&gt;0,H182,0)</f>
        <v>2552</v>
      </c>
      <c r="G61" s="151" t="s">
        <v>14</v>
      </c>
      <c r="H61" s="614">
        <f>IF('Gårdens info'!G25&gt;0,F61/'Gårdens info'!$G$25,0)</f>
        <v>0.56711111111111112</v>
      </c>
      <c r="I61" s="151" t="s">
        <v>6</v>
      </c>
      <c r="J61" s="298">
        <f>F61*'Gårdens info'!D25</f>
        <v>2552</v>
      </c>
      <c r="K61" s="151" t="s">
        <v>491</v>
      </c>
      <c r="L61" s="297"/>
      <c r="M61" s="300"/>
    </row>
    <row r="62" spans="1:26" s="8" customFormat="1" ht="19.95" customHeight="1" x14ac:dyDescent="0.3">
      <c r="A62" s="386"/>
      <c r="B62" s="309"/>
      <c r="C62" s="306"/>
      <c r="D62" s="310"/>
      <c r="E62" s="310"/>
      <c r="F62" s="311"/>
      <c r="G62" s="153"/>
      <c r="H62" s="310"/>
      <c r="I62" s="310"/>
      <c r="J62" s="310"/>
      <c r="K62" s="310"/>
      <c r="L62" s="310"/>
      <c r="M62" s="295"/>
    </row>
    <row r="63" spans="1:26" s="8" customFormat="1" ht="21" x14ac:dyDescent="0.4">
      <c r="A63" s="386"/>
      <c r="B63" s="932" t="s">
        <v>230</v>
      </c>
      <c r="C63" s="933"/>
      <c r="D63" s="933"/>
      <c r="E63" s="324"/>
      <c r="F63" s="328">
        <f>F61</f>
        <v>2552</v>
      </c>
      <c r="G63" s="329" t="s">
        <v>14</v>
      </c>
      <c r="H63" s="618">
        <f>H61</f>
        <v>0.56711111111111112</v>
      </c>
      <c r="I63" s="329" t="s">
        <v>6</v>
      </c>
      <c r="J63" s="331">
        <f>J61</f>
        <v>2552</v>
      </c>
      <c r="K63" s="329" t="s">
        <v>491</v>
      </c>
      <c r="L63" s="329"/>
      <c r="M63" s="321"/>
    </row>
    <row r="64" spans="1:26" s="8" customFormat="1" ht="21" x14ac:dyDescent="0.4">
      <c r="A64" s="386"/>
      <c r="B64" s="689"/>
      <c r="C64" s="690"/>
      <c r="D64" s="690"/>
      <c r="E64" s="324"/>
      <c r="F64" s="328"/>
      <c r="G64" s="329"/>
      <c r="H64" s="618"/>
      <c r="I64" s="329"/>
      <c r="J64" s="331"/>
      <c r="K64" s="329"/>
      <c r="L64" s="329"/>
      <c r="M64" s="321"/>
    </row>
    <row r="65" spans="1:13" s="8" customFormat="1" ht="21" x14ac:dyDescent="0.4">
      <c r="A65" s="386"/>
      <c r="B65" s="932" t="s">
        <v>268</v>
      </c>
      <c r="C65" s="933"/>
      <c r="D65" s="933"/>
      <c r="E65" s="324"/>
      <c r="F65" s="328">
        <f>F28+F57+F63</f>
        <v>16214.812414462085</v>
      </c>
      <c r="G65" s="329" t="s">
        <v>14</v>
      </c>
      <c r="H65" s="705">
        <f>H28+H57+H63</f>
        <v>3.6032916476582399</v>
      </c>
      <c r="I65" s="329" t="s">
        <v>6</v>
      </c>
      <c r="J65" s="328">
        <f>J28+J57+J63</f>
        <v>16214.812414462085</v>
      </c>
      <c r="K65" s="329" t="s">
        <v>491</v>
      </c>
      <c r="L65" s="329"/>
      <c r="M65" s="321"/>
    </row>
    <row r="66" spans="1:13" s="8" customFormat="1" ht="21" x14ac:dyDescent="0.4">
      <c r="A66" s="386"/>
      <c r="B66" s="351"/>
      <c r="C66" s="332"/>
      <c r="D66" s="332"/>
      <c r="E66" s="324"/>
      <c r="F66" s="328"/>
      <c r="G66" s="329"/>
      <c r="H66" s="330"/>
      <c r="I66" s="329"/>
      <c r="J66" s="331"/>
      <c r="K66" s="329"/>
      <c r="L66" s="329"/>
      <c r="M66" s="321"/>
    </row>
    <row r="67" spans="1:13" s="8" customFormat="1" ht="21.6" thickBot="1" x14ac:dyDescent="0.45">
      <c r="A67" s="386"/>
      <c r="B67" s="936" t="s">
        <v>269</v>
      </c>
      <c r="C67" s="937"/>
      <c r="D67" s="937"/>
      <c r="E67" s="315"/>
      <c r="F67" s="355">
        <f>F11-F28-F57-F63</f>
        <v>6917.6875855379149</v>
      </c>
      <c r="G67" s="356" t="s">
        <v>14</v>
      </c>
      <c r="H67" s="621">
        <f>H11-H28-H57-H63</f>
        <v>6.1367083523417607</v>
      </c>
      <c r="I67" s="356" t="s">
        <v>6</v>
      </c>
      <c r="J67" s="355">
        <f>J11-J28-J57-J63</f>
        <v>6917.6875855379149</v>
      </c>
      <c r="K67" s="356" t="s">
        <v>491</v>
      </c>
      <c r="L67" s="356"/>
      <c r="M67" s="316"/>
    </row>
    <row r="68" spans="1:13" s="8" customFormat="1" ht="30" customHeight="1" thickBot="1" x14ac:dyDescent="0.3">
      <c r="A68" s="386"/>
      <c r="B68" s="534"/>
      <c r="C68" s="534"/>
      <c r="D68" s="534"/>
      <c r="E68" s="534"/>
      <c r="F68" s="534"/>
      <c r="G68" s="534"/>
      <c r="H68" s="534"/>
      <c r="I68" s="534"/>
      <c r="J68" s="534"/>
      <c r="K68" s="534"/>
      <c r="L68" s="534"/>
      <c r="M68" s="534"/>
    </row>
    <row r="69" spans="1:13" s="8" customFormat="1" ht="21.6" thickBot="1" x14ac:dyDescent="0.45">
      <c r="A69" s="386"/>
      <c r="B69" s="953" t="s">
        <v>522</v>
      </c>
      <c r="C69" s="954"/>
      <c r="D69" s="954"/>
      <c r="E69" s="955"/>
      <c r="F69" s="534"/>
      <c r="G69" s="534"/>
      <c r="H69" s="534"/>
      <c r="I69" s="534"/>
      <c r="J69" s="856" t="s">
        <v>271</v>
      </c>
      <c r="K69" s="563"/>
      <c r="L69" s="534"/>
      <c r="M69" s="534"/>
    </row>
    <row r="70" spans="1:13" s="8" customFormat="1" x14ac:dyDescent="0.25">
      <c r="A70" s="386"/>
      <c r="B70" s="534"/>
      <c r="C70" s="534"/>
      <c r="D70" s="534"/>
      <c r="E70" s="534"/>
      <c r="F70" s="534"/>
      <c r="G70" s="534"/>
      <c r="H70" s="534"/>
      <c r="I70" s="534"/>
      <c r="J70" s="534"/>
      <c r="K70" s="534"/>
      <c r="L70" s="534"/>
      <c r="M70" s="534"/>
    </row>
    <row r="71" spans="1:13" s="8" customFormat="1" ht="19.95" customHeight="1" x14ac:dyDescent="0.3">
      <c r="A71" s="386"/>
      <c r="B71" s="113" t="s">
        <v>356</v>
      </c>
      <c r="C71" s="65"/>
      <c r="D71" s="65"/>
      <c r="E71" s="65"/>
      <c r="F71" s="959" t="s">
        <v>159</v>
      </c>
      <c r="G71" s="959"/>
      <c r="H71" s="959" t="s">
        <v>158</v>
      </c>
      <c r="I71" s="959"/>
      <c r="J71" s="959" t="s">
        <v>273</v>
      </c>
      <c r="K71" s="959"/>
      <c r="L71" s="143" t="s">
        <v>274</v>
      </c>
      <c r="M71" s="67"/>
    </row>
    <row r="72" spans="1:13" s="8" customFormat="1" ht="13.8" thickBot="1" x14ac:dyDescent="0.3">
      <c r="A72" s="386"/>
      <c r="B72" s="69"/>
      <c r="C72" s="65"/>
      <c r="D72" s="65"/>
      <c r="E72" s="65"/>
      <c r="F72" s="65"/>
      <c r="G72" s="65"/>
      <c r="H72" s="65"/>
      <c r="I72" s="65"/>
      <c r="J72" s="67"/>
      <c r="K72" s="67"/>
      <c r="L72" s="67"/>
      <c r="M72" s="67"/>
    </row>
    <row r="73" spans="1:13" s="8" customFormat="1" ht="13.8" thickBot="1" x14ac:dyDescent="0.3">
      <c r="A73" s="386"/>
      <c r="B73" s="65"/>
      <c r="C73" s="66" t="s">
        <v>523</v>
      </c>
      <c r="D73" s="67"/>
      <c r="E73" s="65"/>
      <c r="F73" s="118">
        <v>8000</v>
      </c>
      <c r="G73" s="65" t="s">
        <v>327</v>
      </c>
      <c r="H73" s="95">
        <v>0.65</v>
      </c>
      <c r="I73" s="70" t="s">
        <v>152</v>
      </c>
      <c r="J73" s="235">
        <f>F73*H73</f>
        <v>5200</v>
      </c>
      <c r="K73" s="65" t="s">
        <v>14</v>
      </c>
      <c r="L73" s="65"/>
      <c r="M73" s="67"/>
    </row>
    <row r="74" spans="1:13" s="8" customFormat="1" ht="13.8" thickBot="1" x14ac:dyDescent="0.3">
      <c r="A74" s="386"/>
      <c r="B74" s="65"/>
      <c r="C74" s="65" t="s">
        <v>403</v>
      </c>
      <c r="D74" s="66"/>
      <c r="E74" s="65"/>
      <c r="F74" s="118"/>
      <c r="G74" s="65" t="s">
        <v>327</v>
      </c>
      <c r="H74" s="95"/>
      <c r="I74" s="70" t="s">
        <v>152</v>
      </c>
      <c r="J74" s="235">
        <f t="shared" ref="J74:J75" si="7">F74*H74</f>
        <v>0</v>
      </c>
      <c r="K74" s="65" t="s">
        <v>14</v>
      </c>
      <c r="L74" s="67"/>
      <c r="M74" s="67"/>
    </row>
    <row r="75" spans="1:13" s="8" customFormat="1" ht="13.8" thickBot="1" x14ac:dyDescent="0.3">
      <c r="A75" s="386"/>
      <c r="B75" s="65"/>
      <c r="C75" s="65" t="s">
        <v>403</v>
      </c>
      <c r="D75" s="66"/>
      <c r="E75" s="65"/>
      <c r="F75" s="118"/>
      <c r="G75" s="65" t="s">
        <v>327</v>
      </c>
      <c r="H75" s="95"/>
      <c r="I75" s="70" t="s">
        <v>152</v>
      </c>
      <c r="J75" s="235">
        <f t="shared" si="7"/>
        <v>0</v>
      </c>
      <c r="K75" s="65" t="s">
        <v>14</v>
      </c>
      <c r="L75" s="67"/>
      <c r="M75" s="67"/>
    </row>
    <row r="76" spans="1:13" s="8" customFormat="1" x14ac:dyDescent="0.25">
      <c r="A76" s="386"/>
      <c r="B76" s="65"/>
      <c r="C76" s="71" t="s">
        <v>196</v>
      </c>
      <c r="D76" s="71"/>
      <c r="E76" s="71"/>
      <c r="F76" s="71"/>
      <c r="G76" s="71"/>
      <c r="H76" s="279"/>
      <c r="I76" s="279"/>
      <c r="J76" s="280">
        <f>SUM(J73:J75)</f>
        <v>5200</v>
      </c>
      <c r="K76" s="71" t="s">
        <v>14</v>
      </c>
      <c r="L76" s="67"/>
      <c r="M76" s="67"/>
    </row>
    <row r="77" spans="1:13" s="8" customFormat="1" x14ac:dyDescent="0.25">
      <c r="A77" s="386"/>
      <c r="B77" s="65"/>
      <c r="C77" s="65"/>
      <c r="D77" s="71"/>
      <c r="E77" s="65"/>
      <c r="F77" s="65"/>
      <c r="G77" s="65"/>
      <c r="H77" s="70"/>
      <c r="I77" s="70"/>
      <c r="J77" s="235"/>
      <c r="K77" s="65"/>
      <c r="L77" s="67"/>
      <c r="M77" s="67"/>
    </row>
    <row r="78" spans="1:13" s="8" customFormat="1" x14ac:dyDescent="0.25">
      <c r="A78" s="386"/>
      <c r="B78" s="534"/>
      <c r="C78" s="534"/>
      <c r="D78" s="534"/>
      <c r="E78" s="534"/>
      <c r="F78" s="534"/>
      <c r="G78" s="534"/>
      <c r="H78" s="534"/>
      <c r="I78" s="534"/>
      <c r="J78" s="534"/>
      <c r="K78" s="534"/>
      <c r="L78" s="534"/>
      <c r="M78" s="534"/>
    </row>
    <row r="79" spans="1:13" s="8" customFormat="1" ht="15.6" x14ac:dyDescent="0.3">
      <c r="A79" s="386"/>
      <c r="B79" s="120" t="s">
        <v>524</v>
      </c>
      <c r="C79" s="121"/>
      <c r="D79" s="121"/>
      <c r="E79" s="121"/>
      <c r="F79" s="960" t="s">
        <v>159</v>
      </c>
      <c r="G79" s="960"/>
      <c r="H79" s="960" t="s">
        <v>158</v>
      </c>
      <c r="I79" s="960"/>
      <c r="J79" s="960" t="s">
        <v>273</v>
      </c>
      <c r="K79" s="960"/>
      <c r="L79" s="123"/>
      <c r="M79" s="123"/>
    </row>
    <row r="80" spans="1:13" s="8" customFormat="1" ht="13.8" thickBot="1" x14ac:dyDescent="0.3">
      <c r="A80" s="386"/>
      <c r="B80" s="636" t="s">
        <v>474</v>
      </c>
      <c r="C80" s="121"/>
      <c r="D80" s="121"/>
      <c r="E80" s="121"/>
      <c r="F80" s="121"/>
      <c r="G80" s="121"/>
      <c r="H80" s="122"/>
      <c r="I80" s="122"/>
      <c r="J80" s="123"/>
      <c r="K80" s="123"/>
      <c r="L80" s="123"/>
      <c r="M80" s="123"/>
    </row>
    <row r="81" spans="1:26" s="8" customFormat="1" ht="13.8" thickBot="1" x14ac:dyDescent="0.3">
      <c r="A81" s="386"/>
      <c r="B81" s="121"/>
      <c r="C81" s="121" t="s">
        <v>433</v>
      </c>
      <c r="D81" s="123"/>
      <c r="E81" s="121"/>
      <c r="F81" s="118">
        <v>100</v>
      </c>
      <c r="G81" s="121" t="s">
        <v>21</v>
      </c>
      <c r="H81" s="99">
        <v>1.7</v>
      </c>
      <c r="I81" s="122" t="s">
        <v>6</v>
      </c>
      <c r="J81" s="124">
        <f>F81*H81</f>
        <v>170</v>
      </c>
      <c r="K81" s="121" t="s">
        <v>14</v>
      </c>
      <c r="L81" s="123"/>
      <c r="M81" s="123"/>
    </row>
    <row r="82" spans="1:26" s="239" customFormat="1" ht="16.2" thickBot="1" x14ac:dyDescent="0.35">
      <c r="A82" s="390"/>
      <c r="B82" s="121"/>
      <c r="C82" s="121" t="s">
        <v>434</v>
      </c>
      <c r="D82" s="123"/>
      <c r="E82" s="121"/>
      <c r="F82" s="118">
        <v>130</v>
      </c>
      <c r="G82" s="121" t="s">
        <v>21</v>
      </c>
      <c r="H82" s="99">
        <v>2.1</v>
      </c>
      <c r="I82" s="122" t="s">
        <v>6</v>
      </c>
      <c r="J82" s="124">
        <f t="shared" ref="J82:J84" si="8">F82*H82</f>
        <v>273</v>
      </c>
      <c r="K82" s="121" t="s">
        <v>14</v>
      </c>
      <c r="L82" s="123"/>
      <c r="M82" s="123"/>
      <c r="N82" s="8"/>
      <c r="O82" s="8"/>
      <c r="P82" s="8"/>
      <c r="Q82" s="8"/>
      <c r="R82" s="8"/>
      <c r="S82" s="8"/>
      <c r="T82" s="8"/>
      <c r="U82" s="8"/>
      <c r="Y82" s="8"/>
      <c r="Z82" s="8"/>
    </row>
    <row r="83" spans="1:26" s="8" customFormat="1" ht="16.2" thickBot="1" x14ac:dyDescent="0.35">
      <c r="A83" s="386"/>
      <c r="B83" s="121"/>
      <c r="C83" s="121" t="s">
        <v>280</v>
      </c>
      <c r="D83" s="123"/>
      <c r="E83" s="121"/>
      <c r="F83" s="96"/>
      <c r="G83" s="121" t="s">
        <v>21</v>
      </c>
      <c r="H83" s="99"/>
      <c r="I83" s="122" t="s">
        <v>6</v>
      </c>
      <c r="J83" s="124">
        <f t="shared" si="8"/>
        <v>0</v>
      </c>
      <c r="K83" s="121" t="s">
        <v>14</v>
      </c>
      <c r="L83" s="123"/>
      <c r="M83" s="123"/>
      <c r="N83" s="239"/>
      <c r="O83" s="239"/>
      <c r="P83" s="239"/>
      <c r="Q83" s="239"/>
      <c r="R83" s="239"/>
      <c r="S83" s="239"/>
      <c r="T83" s="239"/>
      <c r="U83" s="239"/>
    </row>
    <row r="84" spans="1:26" s="8" customFormat="1" ht="16.2" thickBot="1" x14ac:dyDescent="0.35">
      <c r="A84" s="386"/>
      <c r="B84" s="121"/>
      <c r="C84" s="121" t="s">
        <v>280</v>
      </c>
      <c r="D84" s="123"/>
      <c r="E84" s="121"/>
      <c r="F84" s="96"/>
      <c r="G84" s="121" t="s">
        <v>21</v>
      </c>
      <c r="H84" s="99"/>
      <c r="I84" s="122" t="s">
        <v>6</v>
      </c>
      <c r="J84" s="124">
        <f t="shared" si="8"/>
        <v>0</v>
      </c>
      <c r="K84" s="121" t="s">
        <v>14</v>
      </c>
      <c r="L84" s="123"/>
      <c r="M84" s="123"/>
      <c r="Y84" s="239"/>
      <c r="Z84" s="239"/>
    </row>
    <row r="85" spans="1:26" s="77" customFormat="1" ht="17.399999999999999" x14ac:dyDescent="0.3">
      <c r="A85" s="387"/>
      <c r="B85" s="121"/>
      <c r="C85" s="121"/>
      <c r="D85" s="121"/>
      <c r="E85" s="121"/>
      <c r="F85" s="121"/>
      <c r="G85" s="121"/>
      <c r="H85" s="121"/>
      <c r="I85" s="122"/>
      <c r="J85" s="124"/>
      <c r="K85" s="121"/>
      <c r="L85" s="123"/>
      <c r="M85" s="123"/>
      <c r="N85" s="8"/>
      <c r="O85" s="8"/>
      <c r="P85" s="8"/>
      <c r="Q85" s="8"/>
      <c r="R85" s="8"/>
      <c r="S85" s="8"/>
      <c r="T85" s="8"/>
      <c r="U85" s="8"/>
      <c r="Y85" s="8"/>
      <c r="Z85" s="8"/>
    </row>
    <row r="86" spans="1:26" s="77" customFormat="1" ht="18" thickBot="1" x14ac:dyDescent="0.35">
      <c r="A86" s="387"/>
      <c r="B86" s="636" t="s">
        <v>475</v>
      </c>
      <c r="C86" s="121"/>
      <c r="D86" s="123"/>
      <c r="E86" s="121"/>
      <c r="F86" s="637"/>
      <c r="G86" s="637"/>
      <c r="H86" s="638"/>
      <c r="I86" s="638"/>
      <c r="J86" s="124"/>
      <c r="K86" s="121"/>
      <c r="L86" s="123"/>
      <c r="M86" s="123"/>
      <c r="Y86" s="8"/>
      <c r="Z86" s="8"/>
    </row>
    <row r="87" spans="1:26" s="77" customFormat="1" ht="18" thickBot="1" x14ac:dyDescent="0.35">
      <c r="A87" s="387"/>
      <c r="B87" s="121"/>
      <c r="C87" s="121" t="s">
        <v>525</v>
      </c>
      <c r="D87" s="121"/>
      <c r="E87" s="121"/>
      <c r="F87" s="96">
        <v>1000</v>
      </c>
      <c r="G87" s="121" t="s">
        <v>15</v>
      </c>
      <c r="H87" s="96">
        <v>1</v>
      </c>
      <c r="I87" s="122" t="s">
        <v>7</v>
      </c>
      <c r="J87" s="124">
        <f t="shared" ref="J87:J89" si="9">F87*H87</f>
        <v>1000</v>
      </c>
      <c r="K87" s="121" t="s">
        <v>14</v>
      </c>
      <c r="L87" s="123"/>
      <c r="M87" s="123"/>
      <c r="Y87" s="8"/>
      <c r="Z87" s="8"/>
    </row>
    <row r="88" spans="1:26" s="77" customFormat="1" ht="18" thickBot="1" x14ac:dyDescent="0.35">
      <c r="A88" s="387"/>
      <c r="B88" s="121"/>
      <c r="C88" s="121" t="s">
        <v>477</v>
      </c>
      <c r="D88" s="121"/>
      <c r="E88" s="121"/>
      <c r="F88" s="96"/>
      <c r="G88" s="121" t="s">
        <v>21</v>
      </c>
      <c r="H88" s="99"/>
      <c r="I88" s="122" t="s">
        <v>6</v>
      </c>
      <c r="J88" s="124">
        <f t="shared" si="9"/>
        <v>0</v>
      </c>
      <c r="K88" s="121" t="s">
        <v>14</v>
      </c>
      <c r="L88" s="123"/>
      <c r="M88" s="123"/>
      <c r="Y88" s="8"/>
      <c r="Z88" s="8"/>
    </row>
    <row r="89" spans="1:26" s="77" customFormat="1" ht="18" thickBot="1" x14ac:dyDescent="0.35">
      <c r="A89" s="387"/>
      <c r="B89" s="121"/>
      <c r="C89" s="121" t="s">
        <v>477</v>
      </c>
      <c r="D89" s="121"/>
      <c r="E89" s="121"/>
      <c r="F89" s="96"/>
      <c r="G89" s="121" t="s">
        <v>21</v>
      </c>
      <c r="H89" s="99"/>
      <c r="I89" s="122" t="s">
        <v>6</v>
      </c>
      <c r="J89" s="124">
        <f t="shared" si="9"/>
        <v>0</v>
      </c>
      <c r="K89" s="121" t="s">
        <v>14</v>
      </c>
      <c r="L89" s="123"/>
      <c r="M89" s="123"/>
      <c r="Y89" s="8"/>
      <c r="Z89" s="8"/>
    </row>
    <row r="90" spans="1:26" s="77" customFormat="1" ht="17.399999999999999" x14ac:dyDescent="0.3">
      <c r="A90" s="387"/>
      <c r="B90" s="270"/>
      <c r="C90" s="270" t="s">
        <v>196</v>
      </c>
      <c r="D90" s="270"/>
      <c r="E90" s="270"/>
      <c r="F90" s="270"/>
      <c r="G90" s="270"/>
      <c r="H90" s="270"/>
      <c r="I90" s="271"/>
      <c r="J90" s="272">
        <f>SUM(J80:J89)</f>
        <v>1443</v>
      </c>
      <c r="K90" s="270" t="s">
        <v>14</v>
      </c>
      <c r="L90" s="123"/>
      <c r="M90" s="123"/>
      <c r="Y90" s="8"/>
      <c r="Z90" s="8"/>
    </row>
    <row r="91" spans="1:26" s="77" customFormat="1" ht="17.399999999999999" x14ac:dyDescent="0.3">
      <c r="A91" s="387"/>
      <c r="B91" s="121"/>
      <c r="C91" s="121"/>
      <c r="D91" s="121"/>
      <c r="E91" s="121"/>
      <c r="F91" s="121"/>
      <c r="G91" s="121"/>
      <c r="H91" s="121"/>
      <c r="I91" s="122"/>
      <c r="J91" s="124"/>
      <c r="K91" s="121"/>
      <c r="L91" s="123"/>
      <c r="M91" s="123"/>
      <c r="Y91" s="8"/>
      <c r="Z91" s="8"/>
    </row>
    <row r="92" spans="1:26" s="91" customFormat="1" ht="17.399999999999999" x14ac:dyDescent="0.3">
      <c r="A92" s="388"/>
      <c r="B92"/>
      <c r="C92"/>
      <c r="D92"/>
      <c r="E92"/>
      <c r="F92"/>
      <c r="G92"/>
      <c r="H92"/>
      <c r="I92"/>
      <c r="J92"/>
      <c r="K92"/>
      <c r="L92"/>
      <c r="M92"/>
      <c r="N92" s="77"/>
      <c r="O92" s="77"/>
      <c r="P92" s="77"/>
      <c r="Q92" s="77"/>
      <c r="R92" s="77"/>
      <c r="S92" s="77"/>
      <c r="T92" s="77"/>
      <c r="U92" s="77"/>
      <c r="Y92" s="8"/>
      <c r="Z92" s="8"/>
    </row>
    <row r="93" spans="1:26" ht="15.6" x14ac:dyDescent="0.3">
      <c r="B93" s="109" t="s">
        <v>479</v>
      </c>
      <c r="C93" s="72"/>
      <c r="D93" s="72"/>
      <c r="E93" s="72"/>
      <c r="F93" s="957" t="s">
        <v>159</v>
      </c>
      <c r="G93" s="957"/>
      <c r="H93" s="958" t="s">
        <v>158</v>
      </c>
      <c r="I93" s="958"/>
      <c r="J93" s="957" t="s">
        <v>273</v>
      </c>
      <c r="K93" s="957"/>
      <c r="L93" s="79"/>
      <c r="M93" s="79"/>
      <c r="N93" s="91"/>
      <c r="O93" s="91"/>
      <c r="P93" s="91"/>
      <c r="Q93" s="91"/>
      <c r="R93" s="91"/>
      <c r="S93" s="91"/>
      <c r="T93" s="91"/>
      <c r="U93" s="91"/>
    </row>
    <row r="94" spans="1:26" ht="15.6" x14ac:dyDescent="0.3">
      <c r="B94" s="109"/>
      <c r="C94" s="72"/>
      <c r="D94" s="462" t="s">
        <v>364</v>
      </c>
      <c r="E94" s="72"/>
      <c r="F94" s="128"/>
      <c r="G94" s="128"/>
      <c r="H94" s="127"/>
      <c r="I94" s="127"/>
      <c r="J94" s="128"/>
      <c r="K94" s="128"/>
      <c r="L94" s="79"/>
      <c r="M94" s="79"/>
    </row>
    <row r="95" spans="1:26" ht="13.8" thickBot="1" x14ac:dyDescent="0.3">
      <c r="B95" s="214" t="s">
        <v>357</v>
      </c>
      <c r="C95" s="72"/>
      <c r="D95" s="72"/>
      <c r="E95" s="72"/>
      <c r="F95" s="74"/>
      <c r="G95" s="74"/>
      <c r="H95" s="73"/>
      <c r="I95" s="73"/>
      <c r="J95" s="79"/>
      <c r="K95" s="79"/>
      <c r="L95" s="79"/>
      <c r="M95" s="79"/>
    </row>
    <row r="96" spans="1:26" ht="13.8" thickBot="1" x14ac:dyDescent="0.3">
      <c r="B96" s="72"/>
      <c r="C96" s="72" t="s">
        <v>80</v>
      </c>
      <c r="D96" s="79"/>
      <c r="E96" s="72"/>
      <c r="F96" s="119">
        <v>0.25</v>
      </c>
      <c r="G96" s="74" t="s">
        <v>20</v>
      </c>
      <c r="H96" s="99">
        <v>39.200000000000003</v>
      </c>
      <c r="I96" s="73" t="s">
        <v>5</v>
      </c>
      <c r="J96" s="79">
        <f t="shared" ref="J96:J106" si="10">F96*H96</f>
        <v>9.8000000000000007</v>
      </c>
      <c r="K96" s="72" t="s">
        <v>14</v>
      </c>
      <c r="L96" s="79"/>
      <c r="M96" s="79"/>
    </row>
    <row r="97" spans="1:26" ht="13.8" thickBot="1" x14ac:dyDescent="0.3">
      <c r="B97" s="72"/>
      <c r="C97" s="72" t="s">
        <v>81</v>
      </c>
      <c r="D97" s="79"/>
      <c r="E97" s="72"/>
      <c r="F97" s="119">
        <v>3</v>
      </c>
      <c r="G97" s="74" t="s">
        <v>21</v>
      </c>
      <c r="H97" s="99">
        <v>75</v>
      </c>
      <c r="I97" s="73" t="s">
        <v>6</v>
      </c>
      <c r="J97" s="79">
        <f t="shared" si="10"/>
        <v>225</v>
      </c>
      <c r="K97" s="72" t="s">
        <v>14</v>
      </c>
      <c r="L97" s="79"/>
      <c r="M97" s="79"/>
    </row>
    <row r="98" spans="1:26" ht="13.8" thickBot="1" x14ac:dyDescent="0.3">
      <c r="B98" s="72"/>
      <c r="C98" s="72" t="s">
        <v>82</v>
      </c>
      <c r="D98" s="79"/>
      <c r="E98" s="72"/>
      <c r="F98" s="119">
        <v>2</v>
      </c>
      <c r="G98" s="74" t="s">
        <v>21</v>
      </c>
      <c r="H98" s="99">
        <v>108</v>
      </c>
      <c r="I98" s="73" t="s">
        <v>6</v>
      </c>
      <c r="J98" s="79">
        <f t="shared" si="10"/>
        <v>216</v>
      </c>
      <c r="K98" s="72" t="s">
        <v>14</v>
      </c>
      <c r="L98" s="79"/>
      <c r="M98" s="79"/>
    </row>
    <row r="99" spans="1:26" ht="13.8" thickBot="1" x14ac:dyDescent="0.3">
      <c r="B99" s="72"/>
      <c r="C99" s="72" t="s">
        <v>326</v>
      </c>
      <c r="D99" s="72"/>
      <c r="E99" s="72"/>
      <c r="F99" s="119"/>
      <c r="G99" s="74" t="s">
        <v>20</v>
      </c>
      <c r="H99" s="99"/>
      <c r="I99" s="73" t="s">
        <v>5</v>
      </c>
      <c r="J99" s="79">
        <f t="shared" si="10"/>
        <v>0</v>
      </c>
      <c r="K99" s="72" t="s">
        <v>14</v>
      </c>
      <c r="L99" s="79"/>
      <c r="M99" s="79"/>
    </row>
    <row r="100" spans="1:26" ht="13.8" thickBot="1" x14ac:dyDescent="0.3">
      <c r="B100" s="72"/>
      <c r="C100" s="72" t="s">
        <v>326</v>
      </c>
      <c r="D100" s="72"/>
      <c r="E100" s="72"/>
      <c r="F100" s="119"/>
      <c r="G100" s="74" t="s">
        <v>20</v>
      </c>
      <c r="H100" s="99"/>
      <c r="I100" s="73" t="s">
        <v>5</v>
      </c>
      <c r="J100" s="79">
        <f t="shared" si="10"/>
        <v>0</v>
      </c>
      <c r="K100" s="72" t="s">
        <v>14</v>
      </c>
      <c r="L100" s="79"/>
      <c r="M100" s="79"/>
    </row>
    <row r="101" spans="1:26" x14ac:dyDescent="0.25">
      <c r="B101" s="72"/>
      <c r="C101" s="72"/>
      <c r="D101" s="72"/>
      <c r="E101" s="72"/>
      <c r="F101" s="212"/>
      <c r="G101" s="74"/>
      <c r="H101" s="213"/>
      <c r="I101" s="73"/>
      <c r="J101" s="79"/>
      <c r="K101" s="72"/>
      <c r="L101" s="79"/>
      <c r="M101" s="79"/>
    </row>
    <row r="102" spans="1:26" ht="13.8" thickBot="1" x14ac:dyDescent="0.3">
      <c r="B102" s="214" t="s">
        <v>358</v>
      </c>
      <c r="C102" s="72"/>
      <c r="D102" s="72"/>
      <c r="E102" s="72"/>
      <c r="F102" s="212"/>
      <c r="G102" s="74"/>
      <c r="H102" s="213"/>
      <c r="I102" s="73"/>
      <c r="J102" s="79"/>
      <c r="K102" s="72"/>
      <c r="L102" s="79"/>
      <c r="M102" s="79"/>
    </row>
    <row r="103" spans="1:26" ht="13.8" thickBot="1" x14ac:dyDescent="0.3">
      <c r="B103" s="72"/>
      <c r="C103" s="72" t="s">
        <v>436</v>
      </c>
      <c r="D103" s="72"/>
      <c r="E103" s="72"/>
      <c r="F103" s="98">
        <v>500</v>
      </c>
      <c r="G103" s="74" t="s">
        <v>153</v>
      </c>
      <c r="H103" s="593">
        <v>2E-3</v>
      </c>
      <c r="I103" s="73" t="s">
        <v>152</v>
      </c>
      <c r="J103" s="79">
        <f t="shared" si="10"/>
        <v>1</v>
      </c>
      <c r="K103" s="72" t="s">
        <v>14</v>
      </c>
      <c r="L103" s="79"/>
      <c r="M103" s="79"/>
    </row>
    <row r="104" spans="1:26" s="8" customFormat="1" ht="13.8" thickBot="1" x14ac:dyDescent="0.3">
      <c r="A104" s="386"/>
      <c r="B104" s="72"/>
      <c r="C104" s="72" t="s">
        <v>86</v>
      </c>
      <c r="D104" s="72"/>
      <c r="E104" s="72"/>
      <c r="F104" s="119">
        <v>0.5</v>
      </c>
      <c r="G104" s="74" t="s">
        <v>21</v>
      </c>
      <c r="H104" s="119">
        <v>255</v>
      </c>
      <c r="I104" s="72" t="s">
        <v>6</v>
      </c>
      <c r="J104" s="79">
        <f t="shared" ref="J104" si="11">F104*H104</f>
        <v>127.5</v>
      </c>
      <c r="K104" s="72" t="s">
        <v>14</v>
      </c>
      <c r="L104" s="79"/>
      <c r="M104" s="79"/>
      <c r="N104"/>
      <c r="O104"/>
      <c r="P104"/>
      <c r="Q104"/>
      <c r="R104"/>
      <c r="S104"/>
      <c r="T104"/>
      <c r="U104"/>
      <c r="Y104"/>
      <c r="Z104"/>
    </row>
    <row r="105" spans="1:26" ht="13.8" thickBot="1" x14ac:dyDescent="0.3">
      <c r="B105" s="72"/>
      <c r="C105" s="72" t="s">
        <v>326</v>
      </c>
      <c r="D105" s="72"/>
      <c r="E105" s="72"/>
      <c r="F105" s="119"/>
      <c r="G105" s="74"/>
      <c r="H105" s="119"/>
      <c r="I105" s="241"/>
      <c r="J105" s="79">
        <f t="shared" si="10"/>
        <v>0</v>
      </c>
      <c r="K105" s="72" t="s">
        <v>14</v>
      </c>
      <c r="L105" s="79"/>
      <c r="M105" s="79"/>
      <c r="N105" s="8"/>
      <c r="O105" s="8"/>
      <c r="P105" s="8"/>
      <c r="Q105" s="8"/>
      <c r="R105" s="8"/>
      <c r="S105" s="8"/>
      <c r="T105" s="8"/>
      <c r="U105" s="8"/>
    </row>
    <row r="106" spans="1:26" ht="21" customHeight="1" thickBot="1" x14ac:dyDescent="0.3">
      <c r="B106" s="72"/>
      <c r="C106" s="72" t="s">
        <v>326</v>
      </c>
      <c r="D106" s="72"/>
      <c r="E106" s="72"/>
      <c r="F106" s="119"/>
      <c r="G106" s="74"/>
      <c r="H106" s="119"/>
      <c r="I106" s="73"/>
      <c r="J106" s="79">
        <f t="shared" si="10"/>
        <v>0</v>
      </c>
      <c r="K106" s="72" t="s">
        <v>14</v>
      </c>
      <c r="L106" s="79"/>
      <c r="M106" s="79"/>
      <c r="Y106" s="8"/>
      <c r="Z106" s="8"/>
    </row>
    <row r="107" spans="1:26" x14ac:dyDescent="0.25">
      <c r="B107" s="241"/>
      <c r="C107" s="241" t="s">
        <v>196</v>
      </c>
      <c r="D107" s="241"/>
      <c r="E107" s="241"/>
      <c r="F107" s="273"/>
      <c r="G107" s="242"/>
      <c r="H107" s="273"/>
      <c r="I107" s="73"/>
      <c r="J107" s="241">
        <f>SUM(J96:J106)</f>
        <v>579.29999999999995</v>
      </c>
      <c r="K107" s="241" t="s">
        <v>14</v>
      </c>
      <c r="L107" s="241"/>
      <c r="M107" s="241"/>
    </row>
    <row r="108" spans="1:26" x14ac:dyDescent="0.25">
      <c r="B108" s="72"/>
      <c r="C108" s="72"/>
      <c r="D108" s="72"/>
      <c r="E108" s="72"/>
      <c r="F108" s="74"/>
      <c r="G108" s="74"/>
      <c r="H108" s="73"/>
      <c r="I108" s="73"/>
      <c r="J108" s="79"/>
      <c r="K108" s="72"/>
      <c r="L108" s="79"/>
      <c r="M108" s="79"/>
    </row>
    <row r="109" spans="1:26" x14ac:dyDescent="0.25">
      <c r="B109" s="534"/>
      <c r="C109" s="534"/>
      <c r="D109" s="534"/>
      <c r="E109" s="534"/>
      <c r="F109" s="534"/>
      <c r="G109" s="534"/>
      <c r="H109" s="534"/>
      <c r="I109" s="534"/>
      <c r="J109" s="534"/>
      <c r="K109" s="534"/>
      <c r="L109" s="534"/>
      <c r="M109" s="534"/>
    </row>
    <row r="110" spans="1:26" ht="15.6" x14ac:dyDescent="0.3">
      <c r="B110" s="639" t="s">
        <v>437</v>
      </c>
      <c r="C110" s="640"/>
      <c r="D110" s="640"/>
      <c r="E110" s="640"/>
      <c r="F110" s="975" t="s">
        <v>159</v>
      </c>
      <c r="G110" s="975"/>
      <c r="H110" s="975" t="s">
        <v>158</v>
      </c>
      <c r="I110" s="975"/>
      <c r="J110" s="975" t="s">
        <v>273</v>
      </c>
      <c r="K110" s="975"/>
      <c r="L110" s="129"/>
      <c r="M110" s="129"/>
    </row>
    <row r="111" spans="1:26" ht="13.8" thickBot="1" x14ac:dyDescent="0.3">
      <c r="B111" s="640"/>
      <c r="C111" s="640"/>
      <c r="D111" s="640"/>
      <c r="E111" s="640"/>
      <c r="F111" s="640"/>
      <c r="G111" s="640"/>
      <c r="H111" s="641"/>
      <c r="I111" s="641"/>
      <c r="J111" s="129"/>
      <c r="K111" s="129"/>
      <c r="L111" s="129"/>
      <c r="M111" s="129"/>
    </row>
    <row r="112" spans="1:26" ht="13.8" thickBot="1" x14ac:dyDescent="0.3">
      <c r="B112" s="640"/>
      <c r="C112" s="640" t="s">
        <v>438</v>
      </c>
      <c r="D112" s="129"/>
      <c r="E112" s="640"/>
      <c r="F112" s="642">
        <v>4</v>
      </c>
      <c r="G112" s="640" t="s">
        <v>439</v>
      </c>
      <c r="H112" s="643">
        <v>160</v>
      </c>
      <c r="I112" s="641" t="s">
        <v>440</v>
      </c>
      <c r="J112" s="644">
        <f t="shared" ref="J112:J114" si="12">F112*H112</f>
        <v>640</v>
      </c>
      <c r="K112" s="640" t="s">
        <v>14</v>
      </c>
      <c r="L112" s="129"/>
      <c r="M112" s="129"/>
    </row>
    <row r="113" spans="1:26" ht="13.8" thickBot="1" x14ac:dyDescent="0.3">
      <c r="B113" s="640"/>
      <c r="C113" s="640" t="s">
        <v>510</v>
      </c>
      <c r="D113" s="640"/>
      <c r="E113" s="640"/>
      <c r="F113" s="642"/>
      <c r="G113" s="640" t="s">
        <v>0</v>
      </c>
      <c r="H113" s="643"/>
      <c r="I113" s="641" t="s">
        <v>14</v>
      </c>
      <c r="J113" s="644">
        <f t="shared" si="12"/>
        <v>0</v>
      </c>
      <c r="K113" s="640" t="s">
        <v>14</v>
      </c>
      <c r="L113" s="129"/>
      <c r="M113" s="129"/>
    </row>
    <row r="114" spans="1:26" ht="13.8" thickBot="1" x14ac:dyDescent="0.3">
      <c r="B114" s="640"/>
      <c r="C114" s="640" t="s">
        <v>510</v>
      </c>
      <c r="D114" s="640"/>
      <c r="E114" s="640"/>
      <c r="F114" s="642"/>
      <c r="G114" s="640" t="s">
        <v>0</v>
      </c>
      <c r="H114" s="643"/>
      <c r="I114" s="641" t="s">
        <v>14</v>
      </c>
      <c r="J114" s="644">
        <f t="shared" si="12"/>
        <v>0</v>
      </c>
      <c r="K114" s="640" t="s">
        <v>14</v>
      </c>
      <c r="L114" s="129"/>
      <c r="M114" s="129"/>
    </row>
    <row r="115" spans="1:26" x14ac:dyDescent="0.25">
      <c r="B115" s="369"/>
      <c r="C115" s="369" t="s">
        <v>196</v>
      </c>
      <c r="D115" s="369"/>
      <c r="E115" s="369"/>
      <c r="F115" s="645"/>
      <c r="G115" s="369"/>
      <c r="H115" s="646"/>
      <c r="I115" s="647"/>
      <c r="J115" s="648">
        <f>SUM(J112:J114)</f>
        <v>640</v>
      </c>
      <c r="K115" s="369" t="s">
        <v>14</v>
      </c>
      <c r="L115" s="369"/>
      <c r="M115" s="369"/>
    </row>
    <row r="116" spans="1:26" x14ac:dyDescent="0.25">
      <c r="B116" s="640"/>
      <c r="C116" s="640"/>
      <c r="D116" s="640"/>
      <c r="E116" s="640"/>
      <c r="F116" s="640"/>
      <c r="G116" s="640"/>
      <c r="H116" s="641"/>
      <c r="I116" s="641"/>
      <c r="J116" s="644"/>
      <c r="K116" s="640"/>
      <c r="L116" s="129"/>
      <c r="M116" s="129"/>
    </row>
    <row r="117" spans="1:26" s="8" customFormat="1" x14ac:dyDescent="0.25">
      <c r="A117" s="386"/>
      <c r="B117" s="534"/>
      <c r="C117" s="534"/>
      <c r="D117" s="534"/>
      <c r="E117" s="534"/>
      <c r="F117" s="534"/>
      <c r="G117" s="534"/>
      <c r="H117" s="534"/>
      <c r="I117" s="534"/>
      <c r="J117" s="534"/>
      <c r="K117" s="534"/>
      <c r="L117" s="534"/>
      <c r="M117" s="534"/>
      <c r="N117"/>
      <c r="O117"/>
      <c r="P117"/>
      <c r="Q117"/>
      <c r="R117"/>
      <c r="S117"/>
      <c r="T117"/>
      <c r="U117"/>
      <c r="Y117"/>
      <c r="Z117"/>
    </row>
    <row r="118" spans="1:26" ht="15.6" x14ac:dyDescent="0.3">
      <c r="B118" s="110" t="s">
        <v>481</v>
      </c>
      <c r="C118" s="82"/>
      <c r="D118" s="82"/>
      <c r="E118" s="82"/>
      <c r="F118" s="965" t="s">
        <v>159</v>
      </c>
      <c r="G118" s="965"/>
      <c r="H118" s="965" t="s">
        <v>158</v>
      </c>
      <c r="I118" s="965"/>
      <c r="J118" s="965" t="s">
        <v>273</v>
      </c>
      <c r="K118" s="965"/>
      <c r="L118" s="84"/>
      <c r="M118" s="84"/>
      <c r="N118" s="8"/>
      <c r="O118" s="8"/>
      <c r="P118" s="8"/>
      <c r="Q118" s="8"/>
      <c r="R118" s="8"/>
      <c r="S118" s="8"/>
      <c r="T118" s="8"/>
      <c r="U118" s="8"/>
    </row>
    <row r="119" spans="1:26" ht="13.8" thickBot="1" x14ac:dyDescent="0.3">
      <c r="B119" s="82"/>
      <c r="C119" s="82"/>
      <c r="D119" s="82"/>
      <c r="E119" s="82"/>
      <c r="F119" s="82"/>
      <c r="G119" s="82"/>
      <c r="H119" s="83"/>
      <c r="I119" s="83"/>
      <c r="J119" s="84"/>
      <c r="K119" s="84"/>
      <c r="L119" s="84"/>
      <c r="M119" s="84"/>
      <c r="Y119" s="8"/>
      <c r="Z119" s="8"/>
    </row>
    <row r="120" spans="1:26" ht="13.8" thickBot="1" x14ac:dyDescent="0.3">
      <c r="B120" s="82"/>
      <c r="C120" s="82" t="s">
        <v>526</v>
      </c>
      <c r="D120" s="82"/>
      <c r="E120" s="82"/>
      <c r="F120" s="463">
        <f>IF(S10&gt;0,S10*'Gårdens info'!G25/1,0)</f>
        <v>900</v>
      </c>
      <c r="G120" s="82" t="s">
        <v>153</v>
      </c>
      <c r="H120" s="99">
        <v>0</v>
      </c>
      <c r="I120" s="83" t="s">
        <v>152</v>
      </c>
      <c r="J120" s="85">
        <f>F120*H120</f>
        <v>0</v>
      </c>
      <c r="K120" s="82" t="s">
        <v>14</v>
      </c>
      <c r="L120" s="84"/>
      <c r="M120" s="84"/>
      <c r="Y120" s="8"/>
      <c r="Z120" s="8"/>
    </row>
    <row r="121" spans="1:26" ht="13.8" thickBot="1" x14ac:dyDescent="0.3">
      <c r="B121" s="82"/>
      <c r="C121" s="82" t="s">
        <v>443</v>
      </c>
      <c r="D121" s="84"/>
      <c r="E121" s="82"/>
      <c r="F121" s="463">
        <f>IF(S11&gt;0,S11*'Gårdens info'!G25/5,0)</f>
        <v>0</v>
      </c>
      <c r="G121" s="82" t="s">
        <v>153</v>
      </c>
      <c r="H121" s="99">
        <v>0.1</v>
      </c>
      <c r="I121" s="83" t="s">
        <v>152</v>
      </c>
      <c r="J121" s="85">
        <f>F121*H121</f>
        <v>0</v>
      </c>
      <c r="K121" s="82" t="s">
        <v>14</v>
      </c>
      <c r="L121" s="84"/>
      <c r="M121" s="84"/>
    </row>
    <row r="122" spans="1:26" ht="13.8" thickBot="1" x14ac:dyDescent="0.3">
      <c r="B122" s="82"/>
      <c r="C122" s="82" t="s">
        <v>444</v>
      </c>
      <c r="D122" s="84"/>
      <c r="E122" s="82"/>
      <c r="F122" s="463">
        <f>IF(S12&gt;0,S12*'Gårdens info'!G25/3,0)</f>
        <v>1050</v>
      </c>
      <c r="G122" s="82" t="s">
        <v>153</v>
      </c>
      <c r="H122" s="99">
        <v>0.1</v>
      </c>
      <c r="I122" s="83" t="s">
        <v>152</v>
      </c>
      <c r="J122" s="85">
        <f t="shared" ref="J122:J127" si="13">F122*H122</f>
        <v>105</v>
      </c>
      <c r="K122" s="82" t="s">
        <v>14</v>
      </c>
      <c r="L122" s="84"/>
      <c r="M122" s="84"/>
    </row>
    <row r="123" spans="1:26" ht="13.8" thickBot="1" x14ac:dyDescent="0.3">
      <c r="B123" s="82"/>
      <c r="C123" s="82" t="s">
        <v>445</v>
      </c>
      <c r="D123" s="84"/>
      <c r="E123" s="82"/>
      <c r="F123" s="463">
        <f>IF(S13&gt;0,S13*'Gårdens info'!G25/0.5,0)</f>
        <v>900</v>
      </c>
      <c r="G123" s="82" t="s">
        <v>153</v>
      </c>
      <c r="H123" s="99">
        <v>4.9000000000000002E-2</v>
      </c>
      <c r="I123" s="83" t="s">
        <v>152</v>
      </c>
      <c r="J123" s="85">
        <f t="shared" si="13"/>
        <v>44.1</v>
      </c>
      <c r="K123" s="82" t="s">
        <v>14</v>
      </c>
      <c r="L123" s="84"/>
      <c r="M123" s="84"/>
    </row>
    <row r="124" spans="1:26" ht="13.8" thickBot="1" x14ac:dyDescent="0.3">
      <c r="B124" s="82"/>
      <c r="C124" s="82" t="s">
        <v>446</v>
      </c>
      <c r="D124" s="84"/>
      <c r="E124" s="82"/>
      <c r="F124" s="463">
        <f>IF(S14&gt;0,S14*'Gårdens info'!G25/0.25,0)</f>
        <v>0</v>
      </c>
      <c r="G124" s="82" t="s">
        <v>153</v>
      </c>
      <c r="H124" s="99">
        <v>0.04</v>
      </c>
      <c r="I124" s="83" t="s">
        <v>152</v>
      </c>
      <c r="J124" s="85">
        <f t="shared" si="13"/>
        <v>0</v>
      </c>
      <c r="K124" s="82" t="s">
        <v>14</v>
      </c>
      <c r="L124" s="84"/>
      <c r="M124" s="84"/>
    </row>
    <row r="125" spans="1:26" ht="13.8" thickBot="1" x14ac:dyDescent="0.3">
      <c r="B125" s="82"/>
      <c r="C125" s="96" t="s">
        <v>511</v>
      </c>
      <c r="D125" s="96"/>
      <c r="E125" s="82" t="s">
        <v>21</v>
      </c>
      <c r="F125" s="463">
        <f>IF(S15&gt;0,S15*'Gårdens info'!G25/D125,0)</f>
        <v>0</v>
      </c>
      <c r="G125" s="82" t="s">
        <v>153</v>
      </c>
      <c r="H125" s="99"/>
      <c r="I125" s="83" t="s">
        <v>152</v>
      </c>
      <c r="J125" s="85">
        <f t="shared" si="13"/>
        <v>0</v>
      </c>
      <c r="K125" s="82" t="s">
        <v>14</v>
      </c>
      <c r="L125" s="84"/>
      <c r="M125" s="84"/>
    </row>
    <row r="126" spans="1:26" ht="13.8" thickBot="1" x14ac:dyDescent="0.3">
      <c r="B126" s="82"/>
      <c r="C126" s="96" t="s">
        <v>511</v>
      </c>
      <c r="D126" s="96"/>
      <c r="E126" s="82" t="s">
        <v>21</v>
      </c>
      <c r="F126" s="463">
        <f>IF(S16&gt;0,S16*'Gårdens info'!G25/D126,0)</f>
        <v>0</v>
      </c>
      <c r="G126" s="82" t="s">
        <v>153</v>
      </c>
      <c r="H126" s="99"/>
      <c r="I126" s="83" t="s">
        <v>152</v>
      </c>
      <c r="J126" s="85">
        <f t="shared" ref="J126" si="14">F126*H126</f>
        <v>0</v>
      </c>
      <c r="K126" s="82" t="s">
        <v>14</v>
      </c>
      <c r="L126" s="84"/>
      <c r="M126" s="84"/>
    </row>
    <row r="127" spans="1:26" ht="13.8" thickBot="1" x14ac:dyDescent="0.3">
      <c r="B127" s="82"/>
      <c r="C127" s="96" t="s">
        <v>511</v>
      </c>
      <c r="D127" s="96"/>
      <c r="E127" s="82" t="s">
        <v>21</v>
      </c>
      <c r="F127" s="463">
        <f>IF(S17&gt;0,S17*'Gårdens info'!G25/D127,0)</f>
        <v>0</v>
      </c>
      <c r="G127" s="82" t="s">
        <v>153</v>
      </c>
      <c r="H127" s="99"/>
      <c r="I127" s="83" t="s">
        <v>152</v>
      </c>
      <c r="J127" s="85">
        <f t="shared" si="13"/>
        <v>0</v>
      </c>
      <c r="K127" s="82" t="s">
        <v>14</v>
      </c>
      <c r="L127" s="84"/>
      <c r="M127" s="84"/>
    </row>
    <row r="128" spans="1:26" x14ac:dyDescent="0.25">
      <c r="B128" s="245"/>
      <c r="C128" s="245" t="s">
        <v>196</v>
      </c>
      <c r="D128" s="245"/>
      <c r="E128" s="245"/>
      <c r="F128" s="246"/>
      <c r="G128" s="245"/>
      <c r="H128" s="247"/>
      <c r="I128" s="248"/>
      <c r="J128" s="249">
        <f>SUM(J121:J127)</f>
        <v>149.1</v>
      </c>
      <c r="K128" s="245" t="s">
        <v>14</v>
      </c>
      <c r="L128" s="245"/>
      <c r="M128" s="245"/>
    </row>
    <row r="129" spans="1:26" x14ac:dyDescent="0.25">
      <c r="B129" s="82"/>
      <c r="C129" s="82"/>
      <c r="D129" s="82"/>
      <c r="E129" s="82"/>
      <c r="F129" s="82"/>
      <c r="G129" s="82"/>
      <c r="H129" s="83"/>
      <c r="I129" s="83"/>
      <c r="J129" s="85"/>
      <c r="K129" s="82"/>
      <c r="L129" s="84"/>
      <c r="M129" s="84"/>
    </row>
    <row r="130" spans="1:26" ht="25.05" customHeight="1" x14ac:dyDescent="0.25">
      <c r="B130" s="534"/>
      <c r="C130" s="534"/>
      <c r="D130" s="534"/>
      <c r="E130" s="534"/>
      <c r="F130" s="534"/>
      <c r="G130" s="534"/>
      <c r="H130" s="534"/>
      <c r="I130" s="534"/>
      <c r="J130" s="534"/>
      <c r="K130" s="534"/>
      <c r="L130" s="534"/>
      <c r="M130" s="534"/>
    </row>
    <row r="131" spans="1:26" ht="25.05" customHeight="1" x14ac:dyDescent="0.3">
      <c r="B131" s="111" t="s">
        <v>527</v>
      </c>
      <c r="C131" s="87"/>
      <c r="D131" s="87"/>
      <c r="E131" s="87"/>
      <c r="F131" s="966" t="s">
        <v>159</v>
      </c>
      <c r="G131" s="966"/>
      <c r="H131" s="966" t="s">
        <v>158</v>
      </c>
      <c r="I131" s="966"/>
      <c r="J131" s="966" t="s">
        <v>273</v>
      </c>
      <c r="K131" s="966"/>
      <c r="L131" s="89"/>
      <c r="M131" s="89"/>
    </row>
    <row r="132" spans="1:26" ht="13.8" thickBot="1" x14ac:dyDescent="0.3">
      <c r="B132" s="87"/>
      <c r="C132" s="87"/>
      <c r="D132" s="87"/>
      <c r="E132" s="87"/>
      <c r="F132" s="87"/>
      <c r="G132" s="87"/>
      <c r="H132" s="88"/>
      <c r="I132" s="88"/>
      <c r="J132" s="89"/>
      <c r="K132" s="89"/>
      <c r="L132" s="89"/>
      <c r="M132" s="89"/>
    </row>
    <row r="133" spans="1:26" ht="13.8" thickBot="1" x14ac:dyDescent="0.3">
      <c r="B133" s="87"/>
      <c r="C133" s="87" t="s">
        <v>247</v>
      </c>
      <c r="D133" s="89"/>
      <c r="E133" s="87"/>
      <c r="F133" s="96">
        <f>'Gårdens info'!G25*'Gårdens info'!D25</f>
        <v>4500</v>
      </c>
      <c r="G133" s="87" t="s">
        <v>21</v>
      </c>
      <c r="H133" s="99">
        <v>0.3</v>
      </c>
      <c r="I133" s="88" t="s">
        <v>6</v>
      </c>
      <c r="J133" s="90">
        <f t="shared" ref="J133:J135" si="15">F133*H133</f>
        <v>1350</v>
      </c>
      <c r="K133" s="87" t="s">
        <v>14</v>
      </c>
      <c r="L133" s="89"/>
      <c r="M133" s="89"/>
    </row>
    <row r="134" spans="1:26" ht="13.8" thickBot="1" x14ac:dyDescent="0.3">
      <c r="B134" s="87"/>
      <c r="C134" s="87" t="s">
        <v>510</v>
      </c>
      <c r="D134" s="87"/>
      <c r="E134" s="87"/>
      <c r="F134" s="96"/>
      <c r="G134" s="87" t="s">
        <v>21</v>
      </c>
      <c r="H134" s="99"/>
      <c r="I134" s="88" t="s">
        <v>6</v>
      </c>
      <c r="J134" s="90">
        <f t="shared" si="15"/>
        <v>0</v>
      </c>
      <c r="K134" s="87" t="s">
        <v>14</v>
      </c>
      <c r="L134" s="89"/>
      <c r="M134" s="89"/>
    </row>
    <row r="135" spans="1:26" ht="13.8" thickBot="1" x14ac:dyDescent="0.3">
      <c r="B135" s="87"/>
      <c r="C135" s="87" t="s">
        <v>510</v>
      </c>
      <c r="D135" s="87"/>
      <c r="E135" s="87"/>
      <c r="F135" s="96"/>
      <c r="G135" s="87" t="s">
        <v>21</v>
      </c>
      <c r="H135" s="99"/>
      <c r="I135" s="88" t="s">
        <v>6</v>
      </c>
      <c r="J135" s="90">
        <f t="shared" si="15"/>
        <v>0</v>
      </c>
      <c r="K135" s="87" t="s">
        <v>14</v>
      </c>
      <c r="L135" s="89"/>
      <c r="M135" s="89"/>
    </row>
    <row r="136" spans="1:26" x14ac:dyDescent="0.25">
      <c r="B136" s="250"/>
      <c r="C136" s="250" t="s">
        <v>196</v>
      </c>
      <c r="D136" s="250"/>
      <c r="E136" s="250"/>
      <c r="F136" s="251"/>
      <c r="G136" s="250"/>
      <c r="H136" s="252"/>
      <c r="I136" s="253"/>
      <c r="J136" s="254">
        <f>SUM(J133:J135)</f>
        <v>1350</v>
      </c>
      <c r="K136" s="250" t="s">
        <v>14</v>
      </c>
      <c r="L136" s="250"/>
      <c r="M136" s="250"/>
    </row>
    <row r="137" spans="1:26" x14ac:dyDescent="0.25">
      <c r="B137" s="87"/>
      <c r="C137" s="87"/>
      <c r="D137" s="87"/>
      <c r="E137" s="87"/>
      <c r="F137" s="87"/>
      <c r="G137" s="87"/>
      <c r="H137" s="88"/>
      <c r="I137" s="88"/>
      <c r="J137" s="90"/>
      <c r="K137" s="87"/>
      <c r="L137" s="89"/>
      <c r="M137" s="89"/>
    </row>
    <row r="138" spans="1:26" x14ac:dyDescent="0.25">
      <c r="B138" s="534"/>
      <c r="C138" s="534"/>
      <c r="D138" s="534"/>
      <c r="E138" s="534"/>
      <c r="F138" s="534"/>
      <c r="G138" s="534"/>
      <c r="H138" s="534"/>
      <c r="I138" s="534"/>
      <c r="J138" s="534"/>
      <c r="K138" s="534"/>
      <c r="L138" s="534"/>
      <c r="M138" s="534"/>
    </row>
    <row r="139" spans="1:26" ht="15.6" x14ac:dyDescent="0.3">
      <c r="B139" s="219" t="s">
        <v>528</v>
      </c>
      <c r="C139" s="220"/>
      <c r="D139" s="220"/>
      <c r="E139" s="220"/>
      <c r="F139" s="964" t="s">
        <v>159</v>
      </c>
      <c r="G139" s="964"/>
      <c r="H139" s="964" t="s">
        <v>158</v>
      </c>
      <c r="I139" s="964"/>
      <c r="J139" s="964" t="s">
        <v>273</v>
      </c>
      <c r="K139" s="964"/>
      <c r="L139" s="222"/>
      <c r="M139" s="222"/>
    </row>
    <row r="140" spans="1:26" s="8" customFormat="1" ht="13.8" thickBot="1" x14ac:dyDescent="0.3">
      <c r="A140" s="386"/>
      <c r="B140" s="220"/>
      <c r="C140" s="220"/>
      <c r="D140" s="220"/>
      <c r="E140" s="220"/>
      <c r="F140" s="220"/>
      <c r="G140" s="220"/>
      <c r="H140" s="221"/>
      <c r="I140" s="221"/>
      <c r="J140" s="222"/>
      <c r="K140" s="222"/>
      <c r="L140" s="222"/>
      <c r="M140" s="222"/>
      <c r="N140"/>
      <c r="O140"/>
      <c r="P140"/>
      <c r="Q140"/>
      <c r="R140"/>
      <c r="S140"/>
      <c r="T140"/>
      <c r="U140"/>
      <c r="Y140"/>
      <c r="Z140"/>
    </row>
    <row r="141" spans="1:26" ht="13.8" thickBot="1" x14ac:dyDescent="0.3">
      <c r="B141" s="220"/>
      <c r="C141" s="220" t="s">
        <v>294</v>
      </c>
      <c r="D141" s="222"/>
      <c r="E141" s="220"/>
      <c r="F141" s="96"/>
      <c r="G141" s="220" t="s">
        <v>0</v>
      </c>
      <c r="H141" s="99"/>
      <c r="I141" s="221" t="s">
        <v>14</v>
      </c>
      <c r="J141" s="223">
        <f t="shared" ref="J141:J143" si="16">F141*H141</f>
        <v>0</v>
      </c>
      <c r="K141" s="220" t="s">
        <v>14</v>
      </c>
      <c r="L141" s="222"/>
      <c r="M141" s="222"/>
      <c r="N141" s="8"/>
      <c r="O141" s="8"/>
      <c r="P141" s="8"/>
      <c r="Q141" s="8"/>
      <c r="R141" s="8"/>
      <c r="S141" s="8"/>
      <c r="T141" s="8"/>
      <c r="U141" s="8"/>
    </row>
    <row r="142" spans="1:26" ht="13.8" thickBot="1" x14ac:dyDescent="0.3">
      <c r="A142" s="391"/>
      <c r="B142" s="220"/>
      <c r="C142" s="220" t="s">
        <v>294</v>
      </c>
      <c r="D142" s="220"/>
      <c r="E142" s="220"/>
      <c r="F142" s="96"/>
      <c r="G142" s="220" t="s">
        <v>0</v>
      </c>
      <c r="H142" s="99"/>
      <c r="I142" s="221" t="s">
        <v>14</v>
      </c>
      <c r="J142" s="223">
        <f t="shared" si="16"/>
        <v>0</v>
      </c>
      <c r="K142" s="220" t="s">
        <v>14</v>
      </c>
      <c r="L142" s="222"/>
      <c r="M142" s="222"/>
      <c r="Y142" s="8"/>
      <c r="Z142" s="8"/>
    </row>
    <row r="143" spans="1:26" ht="13.8" thickBot="1" x14ac:dyDescent="0.3">
      <c r="A143" s="391"/>
      <c r="B143" s="220"/>
      <c r="C143" s="220" t="s">
        <v>294</v>
      </c>
      <c r="D143" s="220"/>
      <c r="E143" s="220"/>
      <c r="F143" s="96"/>
      <c r="G143" s="220" t="s">
        <v>0</v>
      </c>
      <c r="H143" s="99"/>
      <c r="I143" s="221" t="s">
        <v>14</v>
      </c>
      <c r="J143" s="223">
        <f t="shared" si="16"/>
        <v>0</v>
      </c>
      <c r="K143" s="220" t="s">
        <v>14</v>
      </c>
      <c r="L143" s="222"/>
      <c r="M143" s="222"/>
      <c r="N143" s="5"/>
    </row>
    <row r="144" spans="1:26" x14ac:dyDescent="0.25">
      <c r="A144" s="391"/>
      <c r="B144" s="255"/>
      <c r="C144" s="255" t="s">
        <v>196</v>
      </c>
      <c r="D144" s="255"/>
      <c r="E144" s="255"/>
      <c r="F144" s="256"/>
      <c r="G144" s="255"/>
      <c r="H144" s="257"/>
      <c r="I144" s="258"/>
      <c r="J144" s="259">
        <f>SUM(J141:J143)</f>
        <v>0</v>
      </c>
      <c r="K144" s="255" t="s">
        <v>14</v>
      </c>
      <c r="L144" s="255"/>
      <c r="M144" s="255"/>
      <c r="N144" s="5"/>
    </row>
    <row r="145" spans="1:26" x14ac:dyDescent="0.25">
      <c r="A145" s="391"/>
      <c r="B145" s="220"/>
      <c r="C145" s="220"/>
      <c r="D145" s="220"/>
      <c r="E145" s="220"/>
      <c r="F145" s="220"/>
      <c r="G145" s="220"/>
      <c r="H145" s="221"/>
      <c r="I145" s="221"/>
      <c r="J145" s="223"/>
      <c r="K145" s="220"/>
      <c r="L145" s="222"/>
      <c r="M145" s="222"/>
      <c r="N145" s="5"/>
    </row>
    <row r="146" spans="1:26" x14ac:dyDescent="0.25">
      <c r="A146" s="391"/>
      <c r="B146" s="534"/>
      <c r="C146" s="534"/>
      <c r="D146" s="534"/>
      <c r="E146" s="534"/>
      <c r="F146" s="534"/>
      <c r="G146" s="534"/>
      <c r="H146" s="534"/>
      <c r="I146" s="534"/>
      <c r="J146" s="534"/>
      <c r="K146" s="534"/>
      <c r="L146" s="534"/>
      <c r="M146" s="534"/>
      <c r="N146" s="5"/>
    </row>
    <row r="147" spans="1:26" ht="15.6" x14ac:dyDescent="0.3">
      <c r="A147" s="391"/>
      <c r="B147" s="225" t="s">
        <v>513</v>
      </c>
      <c r="C147" s="226"/>
      <c r="D147" s="226"/>
      <c r="E147" s="227"/>
      <c r="F147" s="226" t="s">
        <v>159</v>
      </c>
      <c r="G147" s="228"/>
      <c r="H147" s="228" t="s">
        <v>158</v>
      </c>
      <c r="I147" s="226"/>
      <c r="J147" s="226"/>
      <c r="K147" s="229"/>
      <c r="L147" s="229"/>
      <c r="M147" s="229"/>
      <c r="N147" s="5"/>
    </row>
    <row r="148" spans="1:26" ht="16.2" thickBot="1" x14ac:dyDescent="0.35">
      <c r="A148" s="391"/>
      <c r="B148" s="225"/>
      <c r="C148" s="226"/>
      <c r="D148" s="226"/>
      <c r="E148" s="227"/>
      <c r="F148" s="226"/>
      <c r="G148" s="228"/>
      <c r="H148" s="228"/>
      <c r="I148" s="226"/>
      <c r="J148" s="226"/>
      <c r="K148" s="229"/>
      <c r="L148" s="229"/>
      <c r="M148" s="229"/>
      <c r="N148" s="5"/>
    </row>
    <row r="149" spans="1:26" ht="13.8" thickBot="1" x14ac:dyDescent="0.3">
      <c r="A149" s="391"/>
      <c r="B149" s="226"/>
      <c r="C149" s="226" t="s">
        <v>296</v>
      </c>
      <c r="D149" s="229"/>
      <c r="E149" s="230"/>
      <c r="F149" s="96">
        <v>1000</v>
      </c>
      <c r="G149" s="231" t="s">
        <v>18</v>
      </c>
      <c r="H149" s="96">
        <v>0.15</v>
      </c>
      <c r="I149" s="232" t="s">
        <v>10</v>
      </c>
      <c r="J149" s="632">
        <f>H149*F149</f>
        <v>150</v>
      </c>
      <c r="K149" s="232" t="s">
        <v>14</v>
      </c>
      <c r="L149" s="229"/>
      <c r="M149" s="229"/>
    </row>
    <row r="150" spans="1:26" ht="13.8" thickBot="1" x14ac:dyDescent="0.3">
      <c r="B150" s="226"/>
      <c r="C150" s="226" t="s">
        <v>464</v>
      </c>
      <c r="D150" s="232">
        <f>F182/2</f>
        <v>88</v>
      </c>
      <c r="E150" s="226" t="s">
        <v>9</v>
      </c>
      <c r="F150" s="96">
        <f>+D150*8</f>
        <v>704</v>
      </c>
      <c r="G150" s="228" t="s">
        <v>20</v>
      </c>
      <c r="H150" s="96">
        <v>0.83</v>
      </c>
      <c r="I150" s="232" t="s">
        <v>5</v>
      </c>
      <c r="J150" s="632">
        <f>H150*F150</f>
        <v>584.31999999999994</v>
      </c>
      <c r="K150" s="232" t="s">
        <v>14</v>
      </c>
      <c r="L150" s="229"/>
      <c r="M150" s="229"/>
    </row>
    <row r="151" spans="1:26" ht="13.8" thickBot="1" x14ac:dyDescent="0.3">
      <c r="B151" s="226"/>
      <c r="C151" s="226" t="s">
        <v>298</v>
      </c>
      <c r="D151" s="232">
        <f>D150</f>
        <v>88</v>
      </c>
      <c r="E151" s="226" t="s">
        <v>9</v>
      </c>
      <c r="F151" s="96">
        <v>11.88</v>
      </c>
      <c r="G151" s="228" t="s">
        <v>21</v>
      </c>
      <c r="H151" s="96">
        <v>4</v>
      </c>
      <c r="I151" s="232" t="s">
        <v>6</v>
      </c>
      <c r="J151" s="632">
        <f t="shared" ref="J151:J155" si="17">H151*F151</f>
        <v>47.52</v>
      </c>
      <c r="K151" s="232" t="s">
        <v>14</v>
      </c>
      <c r="L151" s="229"/>
      <c r="M151" s="229"/>
    </row>
    <row r="152" spans="1:26" s="8" customFormat="1" ht="13.8" thickBot="1" x14ac:dyDescent="0.3">
      <c r="A152" s="386"/>
      <c r="B152" s="226"/>
      <c r="C152" s="226" t="s">
        <v>19</v>
      </c>
      <c r="D152" s="229"/>
      <c r="E152" s="232"/>
      <c r="F152" s="96">
        <v>200</v>
      </c>
      <c r="G152" s="228" t="s">
        <v>20</v>
      </c>
      <c r="H152" s="96">
        <v>1.53</v>
      </c>
      <c r="I152" s="232" t="s">
        <v>5</v>
      </c>
      <c r="J152" s="632">
        <f t="shared" si="17"/>
        <v>306</v>
      </c>
      <c r="K152" s="232" t="s">
        <v>14</v>
      </c>
      <c r="L152" s="229"/>
      <c r="M152" s="229"/>
      <c r="N152"/>
      <c r="O152"/>
      <c r="P152"/>
      <c r="Q152"/>
      <c r="R152"/>
      <c r="S152"/>
      <c r="T152"/>
      <c r="U152"/>
      <c r="Y152"/>
      <c r="Z152"/>
    </row>
    <row r="153" spans="1:26" ht="13.8" thickBot="1" x14ac:dyDescent="0.3">
      <c r="B153" s="226"/>
      <c r="C153" s="226" t="s">
        <v>299</v>
      </c>
      <c r="D153" s="229"/>
      <c r="E153" s="232"/>
      <c r="F153" s="96">
        <v>1.48</v>
      </c>
      <c r="G153" s="228" t="s">
        <v>20</v>
      </c>
      <c r="H153" s="96">
        <v>1.6</v>
      </c>
      <c r="I153" s="232" t="s">
        <v>5</v>
      </c>
      <c r="J153" s="632">
        <f t="shared" si="17"/>
        <v>2.3679999999999999</v>
      </c>
      <c r="K153" s="232" t="s">
        <v>14</v>
      </c>
      <c r="L153" s="229"/>
      <c r="M153" s="229"/>
      <c r="N153" s="8"/>
      <c r="O153" s="8"/>
      <c r="P153" s="8"/>
      <c r="Q153" s="8"/>
      <c r="R153" s="8"/>
      <c r="S153" s="8"/>
      <c r="T153" s="8"/>
      <c r="U153" s="8"/>
    </row>
    <row r="154" spans="1:26" ht="13.8" thickBot="1" x14ac:dyDescent="0.3">
      <c r="B154" s="226"/>
      <c r="C154" s="226" t="s">
        <v>300</v>
      </c>
      <c r="D154" s="229"/>
      <c r="E154" s="232"/>
      <c r="F154" s="96"/>
      <c r="G154" s="228"/>
      <c r="H154" s="96"/>
      <c r="I154" s="232"/>
      <c r="J154" s="632">
        <f t="shared" si="17"/>
        <v>0</v>
      </c>
      <c r="K154" s="232" t="s">
        <v>14</v>
      </c>
      <c r="L154" s="229"/>
      <c r="M154" s="229"/>
      <c r="Y154" s="8"/>
      <c r="Z154" s="8"/>
    </row>
    <row r="155" spans="1:26" ht="13.8" thickBot="1" x14ac:dyDescent="0.3">
      <c r="B155" s="229"/>
      <c r="C155" s="226" t="s">
        <v>300</v>
      </c>
      <c r="D155" s="229"/>
      <c r="E155" s="229"/>
      <c r="F155" s="96"/>
      <c r="G155" s="229"/>
      <c r="H155" s="96"/>
      <c r="I155" s="229"/>
      <c r="J155" s="632">
        <f t="shared" si="17"/>
        <v>0</v>
      </c>
      <c r="K155" s="232" t="s">
        <v>14</v>
      </c>
      <c r="L155" s="229"/>
      <c r="M155" s="229"/>
    </row>
    <row r="156" spans="1:26" x14ac:dyDescent="0.25">
      <c r="B156" s="260"/>
      <c r="C156" s="260" t="s">
        <v>196</v>
      </c>
      <c r="D156" s="260"/>
      <c r="E156" s="260"/>
      <c r="F156" s="261"/>
      <c r="G156" s="260"/>
      <c r="H156" s="261"/>
      <c r="I156" s="260"/>
      <c r="J156" s="633">
        <f>SUM(J149:J155)</f>
        <v>1090.2079999999999</v>
      </c>
      <c r="K156" s="262" t="s">
        <v>14</v>
      </c>
      <c r="L156" s="260"/>
      <c r="M156" s="260"/>
    </row>
    <row r="157" spans="1:26" x14ac:dyDescent="0.25">
      <c r="B157" s="229"/>
      <c r="C157" s="229"/>
      <c r="D157" s="229"/>
      <c r="E157" s="229"/>
      <c r="F157" s="229"/>
      <c r="G157" s="229"/>
      <c r="H157" s="229"/>
      <c r="I157" s="229"/>
      <c r="J157" s="229"/>
      <c r="K157" s="229"/>
      <c r="L157" s="229"/>
      <c r="M157" s="229"/>
    </row>
    <row r="158" spans="1:26" x14ac:dyDescent="0.25">
      <c r="B158" s="534"/>
      <c r="C158" s="534"/>
      <c r="D158" s="534"/>
      <c r="E158" s="534"/>
      <c r="F158" s="534"/>
      <c r="G158" s="534"/>
      <c r="H158" s="534"/>
      <c r="I158" s="534"/>
      <c r="J158" s="534"/>
      <c r="K158" s="534"/>
      <c r="L158" s="534"/>
      <c r="M158" s="534"/>
    </row>
    <row r="159" spans="1:26" ht="15.6" x14ac:dyDescent="0.3">
      <c r="B159" s="112" t="s">
        <v>484</v>
      </c>
      <c r="C159" s="101"/>
      <c r="D159" s="101"/>
      <c r="E159" s="101"/>
      <c r="F159" s="101"/>
      <c r="G159" s="101"/>
      <c r="H159" s="101"/>
      <c r="I159" s="101"/>
      <c r="J159" s="101"/>
      <c r="K159" s="101"/>
      <c r="L159" s="101"/>
      <c r="M159" s="101"/>
    </row>
    <row r="160" spans="1:26" s="8" customFormat="1" ht="15.6" x14ac:dyDescent="0.3">
      <c r="A160" s="386"/>
      <c r="B160" s="112"/>
      <c r="C160" s="101"/>
      <c r="D160" s="101"/>
      <c r="E160" s="101"/>
      <c r="F160" s="101"/>
      <c r="G160" s="101"/>
      <c r="H160" s="101"/>
      <c r="I160" s="101"/>
      <c r="J160" s="101"/>
      <c r="K160" s="101"/>
      <c r="L160" s="101"/>
      <c r="M160" s="101"/>
      <c r="N160"/>
      <c r="O160"/>
      <c r="P160"/>
      <c r="Q160"/>
      <c r="R160"/>
      <c r="S160"/>
      <c r="T160"/>
      <c r="U160"/>
      <c r="Y160"/>
      <c r="Z160"/>
    </row>
    <row r="161" spans="1:26" ht="30" customHeight="1" x14ac:dyDescent="0.25">
      <c r="B161" s="961" t="s">
        <v>302</v>
      </c>
      <c r="C161" s="961"/>
      <c r="D161" s="961"/>
      <c r="E161" s="961"/>
      <c r="F161" s="961"/>
      <c r="G161" s="961"/>
      <c r="H161" s="961"/>
      <c r="I161" s="961"/>
      <c r="J161" s="961"/>
      <c r="K161" s="961"/>
      <c r="L161" s="961"/>
      <c r="M161" s="961"/>
      <c r="N161" s="8"/>
      <c r="O161" s="8"/>
      <c r="P161" s="8"/>
      <c r="Q161" s="8"/>
      <c r="R161" s="8"/>
      <c r="S161" s="8"/>
      <c r="T161" s="8"/>
      <c r="U161" s="8"/>
    </row>
    <row r="162" spans="1:26" ht="15.6" x14ac:dyDescent="0.3">
      <c r="B162" s="112"/>
      <c r="C162" s="101"/>
      <c r="D162" s="101"/>
      <c r="E162" s="834"/>
      <c r="F162" s="834"/>
      <c r="G162" s="834"/>
      <c r="H162" s="835"/>
      <c r="I162" s="835"/>
      <c r="J162" s="834"/>
      <c r="K162" s="834"/>
      <c r="L162" s="835"/>
      <c r="M162" s="835"/>
      <c r="Y162" s="8"/>
      <c r="Z162" s="8"/>
    </row>
    <row r="163" spans="1:26" ht="15.6" x14ac:dyDescent="0.3">
      <c r="B163" s="112"/>
      <c r="C163" s="101"/>
      <c r="D163" s="101"/>
      <c r="E163" s="962" t="s">
        <v>303</v>
      </c>
      <c r="F163" s="962"/>
      <c r="G163" s="962"/>
      <c r="H163" s="963" t="s">
        <v>158</v>
      </c>
      <c r="I163" s="963"/>
      <c r="J163" s="963" t="s">
        <v>304</v>
      </c>
      <c r="K163" s="963"/>
      <c r="L163" s="963" t="s">
        <v>158</v>
      </c>
      <c r="M163" s="963"/>
    </row>
    <row r="164" spans="1:26" ht="15.6" thickBot="1" x14ac:dyDescent="0.3">
      <c r="B164" s="100"/>
      <c r="C164" s="101"/>
      <c r="D164" s="101"/>
      <c r="E164" s="101"/>
      <c r="F164" s="101"/>
      <c r="G164" s="101"/>
      <c r="H164" s="101"/>
      <c r="I164" s="101"/>
      <c r="J164" s="101"/>
      <c r="K164" s="101"/>
      <c r="L164" s="101"/>
      <c r="M164" s="101"/>
    </row>
    <row r="165" spans="1:26" ht="13.8" thickBot="1" x14ac:dyDescent="0.3">
      <c r="B165" s="101"/>
      <c r="C165" s="102" t="s">
        <v>485</v>
      </c>
      <c r="D165" s="101"/>
      <c r="E165" s="101"/>
      <c r="F165" s="115">
        <v>10</v>
      </c>
      <c r="G165" s="104" t="s">
        <v>22</v>
      </c>
      <c r="H165" s="117">
        <v>14.5</v>
      </c>
      <c r="I165" s="104" t="s">
        <v>11</v>
      </c>
      <c r="J165" s="116"/>
      <c r="K165" s="104" t="s">
        <v>22</v>
      </c>
      <c r="L165" s="117">
        <v>14.5</v>
      </c>
      <c r="M165" s="104" t="s">
        <v>11</v>
      </c>
    </row>
    <row r="166" spans="1:26" ht="13.8" thickBot="1" x14ac:dyDescent="0.3">
      <c r="B166" s="101"/>
      <c r="C166" s="102" t="s">
        <v>486</v>
      </c>
      <c r="D166" s="101"/>
      <c r="E166" s="101"/>
      <c r="F166" s="115">
        <v>10</v>
      </c>
      <c r="G166" s="104" t="s">
        <v>22</v>
      </c>
      <c r="H166" s="114">
        <f>$H$165</f>
        <v>14.5</v>
      </c>
      <c r="I166" s="104" t="s">
        <v>11</v>
      </c>
      <c r="J166" s="116"/>
      <c r="K166" s="104"/>
      <c r="L166" s="114">
        <f>$L$165</f>
        <v>14.5</v>
      </c>
      <c r="M166" s="104" t="s">
        <v>11</v>
      </c>
    </row>
    <row r="167" spans="1:26" ht="13.8" thickBot="1" x14ac:dyDescent="0.3">
      <c r="B167" s="101"/>
      <c r="C167" s="102" t="s">
        <v>529</v>
      </c>
      <c r="D167" s="101"/>
      <c r="E167" s="101"/>
      <c r="F167" s="115">
        <v>8</v>
      </c>
      <c r="G167" s="104" t="s">
        <v>22</v>
      </c>
      <c r="H167" s="114">
        <f t="shared" ref="H167:H168" si="18">$H$165</f>
        <v>14.5</v>
      </c>
      <c r="I167" s="104" t="s">
        <v>11</v>
      </c>
      <c r="J167" s="116"/>
      <c r="K167" s="104"/>
      <c r="L167" s="114">
        <f t="shared" ref="L167:L168" si="19">$L$165</f>
        <v>14.5</v>
      </c>
      <c r="M167" s="104" t="s">
        <v>11</v>
      </c>
    </row>
    <row r="168" spans="1:26" ht="13.8" thickBot="1" x14ac:dyDescent="0.3">
      <c r="B168" s="101"/>
      <c r="C168" s="102" t="s">
        <v>421</v>
      </c>
      <c r="D168" s="101"/>
      <c r="E168" s="101"/>
      <c r="F168" s="115">
        <v>15</v>
      </c>
      <c r="G168" s="104" t="s">
        <v>22</v>
      </c>
      <c r="H168" s="114">
        <f t="shared" si="18"/>
        <v>14.5</v>
      </c>
      <c r="I168" s="104" t="s">
        <v>11</v>
      </c>
      <c r="J168" s="116"/>
      <c r="K168" s="104"/>
      <c r="L168" s="114">
        <f t="shared" si="19"/>
        <v>14.5</v>
      </c>
      <c r="M168" s="104" t="s">
        <v>11</v>
      </c>
    </row>
    <row r="169" spans="1:26" ht="13.8" thickBot="1" x14ac:dyDescent="0.3">
      <c r="B169" s="101"/>
      <c r="C169" s="102" t="s">
        <v>427</v>
      </c>
      <c r="D169" s="101"/>
      <c r="E169" s="101"/>
      <c r="F169" s="115">
        <v>5</v>
      </c>
      <c r="G169" s="104" t="s">
        <v>22</v>
      </c>
      <c r="H169" s="114">
        <f>H165</f>
        <v>14.5</v>
      </c>
      <c r="I169" s="104" t="s">
        <v>11</v>
      </c>
      <c r="J169" s="116">
        <v>10</v>
      </c>
      <c r="K169" s="104" t="s">
        <v>22</v>
      </c>
      <c r="L169" s="114">
        <f>$L$165</f>
        <v>14.5</v>
      </c>
      <c r="M169" s="104" t="s">
        <v>11</v>
      </c>
    </row>
    <row r="170" spans="1:26" ht="13.8" thickBot="1" x14ac:dyDescent="0.3">
      <c r="B170" s="101"/>
      <c r="C170" s="102" t="s">
        <v>317</v>
      </c>
      <c r="D170" s="101"/>
      <c r="E170" s="101"/>
      <c r="F170" s="115">
        <v>4</v>
      </c>
      <c r="G170" s="104" t="s">
        <v>22</v>
      </c>
      <c r="H170" s="114">
        <f>H169</f>
        <v>14.5</v>
      </c>
      <c r="I170" s="104" t="s">
        <v>11</v>
      </c>
      <c r="J170" s="116"/>
      <c r="K170" s="104" t="s">
        <v>22</v>
      </c>
      <c r="L170" s="114">
        <f>$L$165</f>
        <v>14.5</v>
      </c>
      <c r="M170" s="104" t="s">
        <v>11</v>
      </c>
    </row>
    <row r="171" spans="1:26" s="8" customFormat="1" ht="13.8" thickBot="1" x14ac:dyDescent="0.3">
      <c r="A171" s="386"/>
      <c r="B171" s="101"/>
      <c r="C171" s="102" t="s">
        <v>132</v>
      </c>
      <c r="D171" s="101"/>
      <c r="E171" s="101"/>
      <c r="F171" s="115"/>
      <c r="G171" s="104" t="s">
        <v>21</v>
      </c>
      <c r="H171" s="115"/>
      <c r="I171" s="104" t="s">
        <v>6</v>
      </c>
      <c r="J171" s="115"/>
      <c r="K171" s="104" t="s">
        <v>21</v>
      </c>
      <c r="L171" s="115">
        <v>4</v>
      </c>
      <c r="M171" s="104" t="s">
        <v>6</v>
      </c>
      <c r="N171"/>
      <c r="O171"/>
      <c r="P171"/>
      <c r="Q171"/>
      <c r="R171"/>
      <c r="S171"/>
      <c r="T171"/>
      <c r="U171"/>
      <c r="Y171"/>
      <c r="Z171"/>
    </row>
    <row r="172" spans="1:26" ht="13.8" thickBot="1" x14ac:dyDescent="0.3">
      <c r="B172" s="101"/>
      <c r="C172" s="102" t="s">
        <v>132</v>
      </c>
      <c r="D172" s="101"/>
      <c r="E172" s="101"/>
      <c r="F172" s="115">
        <v>20</v>
      </c>
      <c r="G172" s="104" t="s">
        <v>22</v>
      </c>
      <c r="H172" s="114">
        <f>$H$165</f>
        <v>14.5</v>
      </c>
      <c r="I172" s="104" t="s">
        <v>11</v>
      </c>
      <c r="J172" s="116"/>
      <c r="K172" s="104" t="s">
        <v>22</v>
      </c>
      <c r="L172" s="114">
        <f>$L$165</f>
        <v>14.5</v>
      </c>
      <c r="M172" s="104" t="s">
        <v>11</v>
      </c>
      <c r="N172" s="8"/>
      <c r="O172" s="8"/>
      <c r="P172" s="8"/>
      <c r="Q172" s="8"/>
      <c r="R172" s="8"/>
      <c r="S172" s="8"/>
      <c r="T172" s="8"/>
      <c r="U172" s="8"/>
    </row>
    <row r="173" spans="1:26" ht="13.8" thickBot="1" x14ac:dyDescent="0.3">
      <c r="B173" s="101"/>
      <c r="C173" s="102" t="s">
        <v>454</v>
      </c>
      <c r="D173" s="101"/>
      <c r="E173" s="101"/>
      <c r="F173" s="115">
        <v>10</v>
      </c>
      <c r="G173" s="104" t="s">
        <v>22</v>
      </c>
      <c r="H173" s="114">
        <f t="shared" ref="H173:H181" si="20">$H$165</f>
        <v>14.5</v>
      </c>
      <c r="I173" s="104" t="s">
        <v>11</v>
      </c>
      <c r="J173" s="116">
        <v>30</v>
      </c>
      <c r="K173" s="104" t="s">
        <v>22</v>
      </c>
      <c r="L173" s="114">
        <f t="shared" ref="L173:L181" si="21">$L$165</f>
        <v>14.5</v>
      </c>
      <c r="M173" s="104" t="s">
        <v>11</v>
      </c>
      <c r="Y173" s="8"/>
      <c r="Z173" s="8"/>
    </row>
    <row r="174" spans="1:26" ht="13.8" thickBot="1" x14ac:dyDescent="0.3">
      <c r="B174" s="101"/>
      <c r="C174" s="102" t="s">
        <v>428</v>
      </c>
      <c r="D174" s="101"/>
      <c r="E174" s="101"/>
      <c r="F174" s="115">
        <v>4</v>
      </c>
      <c r="G174" s="104" t="s">
        <v>22</v>
      </c>
      <c r="H174" s="114">
        <f t="shared" si="20"/>
        <v>14.5</v>
      </c>
      <c r="I174" s="104" t="s">
        <v>11</v>
      </c>
      <c r="J174" s="116"/>
      <c r="K174" s="104" t="s">
        <v>22</v>
      </c>
      <c r="L174" s="114">
        <f t="shared" si="21"/>
        <v>14.5</v>
      </c>
      <c r="M174" s="104" t="s">
        <v>11</v>
      </c>
    </row>
    <row r="175" spans="1:26" ht="13.8" thickBot="1" x14ac:dyDescent="0.3">
      <c r="B175" s="101"/>
      <c r="C175" s="102" t="s">
        <v>515</v>
      </c>
      <c r="D175" s="101"/>
      <c r="E175" s="101"/>
      <c r="F175" s="115">
        <v>10</v>
      </c>
      <c r="G175" s="104" t="s">
        <v>22</v>
      </c>
      <c r="H175" s="114">
        <f t="shared" si="20"/>
        <v>14.5</v>
      </c>
      <c r="I175" s="104" t="s">
        <v>11</v>
      </c>
      <c r="J175" s="116"/>
      <c r="K175" s="104" t="s">
        <v>22</v>
      </c>
      <c r="L175" s="114">
        <f t="shared" si="21"/>
        <v>14.5</v>
      </c>
      <c r="M175" s="104" t="s">
        <v>11</v>
      </c>
    </row>
    <row r="176" spans="1:26" ht="13.8" thickBot="1" x14ac:dyDescent="0.3">
      <c r="B176" s="101"/>
      <c r="C176" s="102" t="s">
        <v>429</v>
      </c>
      <c r="D176" s="101"/>
      <c r="E176" s="101"/>
      <c r="F176" s="116">
        <v>20</v>
      </c>
      <c r="G176" s="104" t="s">
        <v>22</v>
      </c>
      <c r="H176" s="114">
        <f t="shared" si="20"/>
        <v>14.5</v>
      </c>
      <c r="I176" s="104" t="s">
        <v>11</v>
      </c>
      <c r="J176" s="116"/>
      <c r="K176" s="104" t="s">
        <v>22</v>
      </c>
      <c r="L176" s="114">
        <f t="shared" si="21"/>
        <v>14.5</v>
      </c>
      <c r="M176" s="104" t="s">
        <v>11</v>
      </c>
    </row>
    <row r="177" spans="1:26" ht="13.8" thickBot="1" x14ac:dyDescent="0.3">
      <c r="B177" s="101"/>
      <c r="C177" s="102" t="s">
        <v>516</v>
      </c>
      <c r="D177" s="101"/>
      <c r="E177" s="101"/>
      <c r="F177" s="116">
        <v>40</v>
      </c>
      <c r="G177" s="104" t="s">
        <v>22</v>
      </c>
      <c r="H177" s="114">
        <f t="shared" si="20"/>
        <v>14.5</v>
      </c>
      <c r="I177" s="104" t="s">
        <v>11</v>
      </c>
      <c r="J177" s="116">
        <v>40</v>
      </c>
      <c r="K177" s="104" t="s">
        <v>22</v>
      </c>
      <c r="L177" s="114">
        <f t="shared" si="21"/>
        <v>14.5</v>
      </c>
      <c r="M177" s="104" t="s">
        <v>11</v>
      </c>
    </row>
    <row r="178" spans="1:26" ht="13.8" thickBot="1" x14ac:dyDescent="0.3">
      <c r="B178" s="101"/>
      <c r="C178" s="102" t="s">
        <v>517</v>
      </c>
      <c r="D178" s="101"/>
      <c r="E178" s="101"/>
      <c r="F178" s="116">
        <v>20</v>
      </c>
      <c r="G178" s="104" t="s">
        <v>22</v>
      </c>
      <c r="H178" s="114">
        <f t="shared" si="20"/>
        <v>14.5</v>
      </c>
      <c r="I178" s="104" t="s">
        <v>11</v>
      </c>
      <c r="J178" s="116"/>
      <c r="K178" s="104" t="s">
        <v>22</v>
      </c>
      <c r="L178" s="114">
        <f t="shared" si="21"/>
        <v>14.5</v>
      </c>
      <c r="M178" s="104" t="s">
        <v>11</v>
      </c>
    </row>
    <row r="179" spans="1:26" ht="13.8" thickBot="1" x14ac:dyDescent="0.3">
      <c r="B179" s="101"/>
      <c r="C179" s="102" t="s">
        <v>431</v>
      </c>
      <c r="D179" s="101"/>
      <c r="E179" s="101"/>
      <c r="F179" s="116"/>
      <c r="G179" s="104" t="s">
        <v>22</v>
      </c>
      <c r="H179" s="114">
        <f t="shared" si="20"/>
        <v>14.5</v>
      </c>
      <c r="I179" s="104" t="s">
        <v>11</v>
      </c>
      <c r="J179" s="97"/>
      <c r="K179" s="104" t="s">
        <v>22</v>
      </c>
      <c r="L179" s="114">
        <f t="shared" si="21"/>
        <v>14.5</v>
      </c>
      <c r="M179" s="104" t="s">
        <v>11</v>
      </c>
    </row>
    <row r="180" spans="1:26" ht="13.8" thickBot="1" x14ac:dyDescent="0.3">
      <c r="B180" s="101"/>
      <c r="C180" s="102" t="s">
        <v>431</v>
      </c>
      <c r="D180" s="101"/>
      <c r="E180" s="101"/>
      <c r="F180" s="116"/>
      <c r="G180" s="104" t="s">
        <v>22</v>
      </c>
      <c r="H180" s="114">
        <f t="shared" si="20"/>
        <v>14.5</v>
      </c>
      <c r="I180" s="104" t="s">
        <v>11</v>
      </c>
      <c r="J180" s="97"/>
      <c r="K180" s="104" t="s">
        <v>22</v>
      </c>
      <c r="L180" s="114">
        <f t="shared" si="21"/>
        <v>14.5</v>
      </c>
      <c r="M180" s="104" t="s">
        <v>11</v>
      </c>
    </row>
    <row r="181" spans="1:26" ht="13.8" thickBot="1" x14ac:dyDescent="0.3">
      <c r="B181" s="101"/>
      <c r="C181" s="102" t="s">
        <v>431</v>
      </c>
      <c r="D181" s="103"/>
      <c r="E181" s="103"/>
      <c r="F181" s="97"/>
      <c r="G181" s="104" t="s">
        <v>22</v>
      </c>
      <c r="H181" s="114">
        <f t="shared" si="20"/>
        <v>14.5</v>
      </c>
      <c r="I181" s="104" t="s">
        <v>11</v>
      </c>
      <c r="J181" s="97"/>
      <c r="K181" s="104" t="s">
        <v>22</v>
      </c>
      <c r="L181" s="114">
        <f t="shared" si="21"/>
        <v>14.5</v>
      </c>
      <c r="M181" s="104" t="s">
        <v>11</v>
      </c>
    </row>
    <row r="182" spans="1:26" x14ac:dyDescent="0.25">
      <c r="B182" s="264"/>
      <c r="C182" s="265" t="s">
        <v>196</v>
      </c>
      <c r="D182" s="266"/>
      <c r="E182" s="266"/>
      <c r="F182" s="267">
        <f>SUM(F165:F170)+SUM(F172:F181)</f>
        <v>176</v>
      </c>
      <c r="G182" s="264" t="s">
        <v>22</v>
      </c>
      <c r="H182" s="114">
        <f>F182*H165+F171*H171</f>
        <v>2552</v>
      </c>
      <c r="I182" s="264" t="s">
        <v>14</v>
      </c>
      <c r="J182" s="269">
        <f>SUM(J165:J170,J172:J181)</f>
        <v>80</v>
      </c>
      <c r="K182" s="264" t="s">
        <v>22</v>
      </c>
      <c r="L182" s="114">
        <f>J182*L165+J171*L171</f>
        <v>1160</v>
      </c>
      <c r="M182" s="264" t="s">
        <v>14</v>
      </c>
    </row>
    <row r="183" spans="1:26" s="8" customFormat="1" x14ac:dyDescent="0.25">
      <c r="A183" s="386"/>
      <c r="B183" s="534"/>
      <c r="C183" s="534"/>
      <c r="D183" s="534"/>
      <c r="E183" s="534"/>
      <c r="F183" s="534"/>
      <c r="G183" s="534"/>
      <c r="H183" s="534"/>
      <c r="I183" s="534"/>
      <c r="J183" s="534"/>
      <c r="K183" s="534"/>
      <c r="L183" s="534"/>
      <c r="M183" s="534"/>
      <c r="N183"/>
      <c r="O183"/>
      <c r="P183"/>
      <c r="Q183"/>
      <c r="R183"/>
      <c r="S183"/>
      <c r="T183"/>
      <c r="U183"/>
      <c r="Y183"/>
      <c r="Z183"/>
    </row>
    <row r="184" spans="1:26" x14ac:dyDescent="0.25">
      <c r="N184" s="8"/>
      <c r="O184" s="8"/>
      <c r="P184" s="8"/>
      <c r="Q184" s="8"/>
      <c r="R184" s="8"/>
      <c r="S184" s="8"/>
      <c r="T184" s="8"/>
      <c r="U184" s="8"/>
    </row>
    <row r="185" spans="1:26" x14ac:dyDescent="0.25">
      <c r="Y185" s="8"/>
      <c r="Z185" s="8"/>
    </row>
    <row r="195" spans="1:26" ht="39" customHeight="1" x14ac:dyDescent="0.25"/>
    <row r="206" spans="1:26" s="8" customFormat="1" x14ac:dyDescent="0.25">
      <c r="A206" s="386"/>
      <c r="B206"/>
      <c r="C206"/>
      <c r="D206"/>
      <c r="E206"/>
      <c r="F206"/>
      <c r="G206"/>
      <c r="H206"/>
      <c r="I206"/>
      <c r="J206"/>
      <c r="K206"/>
      <c r="L206"/>
      <c r="M206"/>
      <c r="N206"/>
      <c r="O206"/>
      <c r="P206"/>
      <c r="Q206"/>
      <c r="R206"/>
      <c r="S206"/>
      <c r="T206"/>
      <c r="U206"/>
      <c r="Y206"/>
      <c r="Z206"/>
    </row>
    <row r="207" spans="1:26" x14ac:dyDescent="0.25">
      <c r="N207" s="8"/>
      <c r="O207" s="8"/>
      <c r="P207" s="8"/>
      <c r="Q207" s="8"/>
      <c r="R207" s="8"/>
      <c r="S207" s="8"/>
      <c r="T207" s="8"/>
      <c r="U207" s="8"/>
    </row>
    <row r="208" spans="1:26" x14ac:dyDescent="0.25">
      <c r="Y208" s="8"/>
      <c r="Z208" s="8"/>
    </row>
    <row r="210" spans="1:26" s="91" customFormat="1" ht="15" x14ac:dyDescent="0.25">
      <c r="A210" s="388"/>
      <c r="B210"/>
      <c r="C210"/>
      <c r="D210"/>
      <c r="E210"/>
      <c r="F210"/>
      <c r="G210"/>
      <c r="H210"/>
      <c r="I210"/>
      <c r="J210"/>
      <c r="K210"/>
      <c r="L210"/>
      <c r="M210"/>
      <c r="N210"/>
      <c r="O210"/>
      <c r="P210"/>
      <c r="Q210"/>
      <c r="R210"/>
      <c r="S210"/>
      <c r="T210"/>
      <c r="U210"/>
      <c r="Y210"/>
      <c r="Z210"/>
    </row>
    <row r="211" spans="1:26" ht="31.05" customHeight="1" x14ac:dyDescent="0.25">
      <c r="N211" s="91"/>
      <c r="O211" s="91"/>
      <c r="P211" s="91"/>
      <c r="Q211" s="91"/>
      <c r="R211" s="91"/>
      <c r="S211" s="91"/>
      <c r="T211" s="91"/>
      <c r="U211" s="91"/>
    </row>
    <row r="212" spans="1:26" ht="15" x14ac:dyDescent="0.25">
      <c r="Y212" s="91"/>
      <c r="Z212" s="91"/>
    </row>
    <row r="223" spans="1:26" s="8" customFormat="1" x14ac:dyDescent="0.25">
      <c r="A223" s="386"/>
      <c r="B223"/>
      <c r="C223"/>
      <c r="D223"/>
      <c r="E223"/>
      <c r="F223"/>
      <c r="G223"/>
      <c r="H223"/>
      <c r="I223"/>
      <c r="J223"/>
      <c r="K223"/>
      <c r="L223"/>
      <c r="M223"/>
      <c r="N223"/>
      <c r="O223"/>
      <c r="P223"/>
      <c r="Q223"/>
      <c r="R223"/>
      <c r="S223"/>
      <c r="T223"/>
      <c r="U223"/>
      <c r="Y223"/>
      <c r="Z223"/>
    </row>
    <row r="224" spans="1:26" x14ac:dyDescent="0.25">
      <c r="A224" s="391"/>
      <c r="N224" s="8"/>
      <c r="O224" s="8"/>
      <c r="P224" s="8"/>
      <c r="Q224" s="8"/>
      <c r="R224" s="8"/>
      <c r="S224" s="8"/>
      <c r="T224" s="8"/>
      <c r="U224" s="8"/>
    </row>
    <row r="225" spans="1:26" s="5" customFormat="1" x14ac:dyDescent="0.25">
      <c r="A225" s="391"/>
      <c r="B225"/>
      <c r="C225"/>
      <c r="D225"/>
      <c r="E225"/>
      <c r="F225"/>
      <c r="G225"/>
      <c r="H225"/>
      <c r="I225"/>
      <c r="J225"/>
      <c r="K225"/>
      <c r="L225"/>
      <c r="M225"/>
      <c r="P225"/>
      <c r="Q225"/>
      <c r="R225"/>
      <c r="S225"/>
      <c r="T225"/>
      <c r="U225"/>
      <c r="Y225" s="8"/>
      <c r="Z225" s="8"/>
    </row>
    <row r="226" spans="1:26" x14ac:dyDescent="0.25">
      <c r="N226" s="5"/>
      <c r="O226" s="5"/>
      <c r="P226" s="5"/>
      <c r="Q226" s="5"/>
      <c r="R226" s="5"/>
      <c r="S226" s="5"/>
      <c r="T226" s="5"/>
      <c r="U226" s="5"/>
    </row>
    <row r="227" spans="1:26" x14ac:dyDescent="0.25">
      <c r="Y227" s="5"/>
      <c r="Z227" s="5"/>
    </row>
    <row r="231" spans="1:26" s="8" customFormat="1" x14ac:dyDescent="0.25">
      <c r="A231" s="386"/>
      <c r="B231"/>
      <c r="C231"/>
      <c r="D231"/>
      <c r="E231"/>
      <c r="F231"/>
      <c r="G231"/>
      <c r="H231"/>
      <c r="I231"/>
      <c r="J231"/>
      <c r="K231"/>
      <c r="L231"/>
      <c r="M231"/>
      <c r="N231"/>
      <c r="O231"/>
      <c r="P231"/>
      <c r="Q231"/>
      <c r="R231"/>
      <c r="S231"/>
      <c r="T231"/>
      <c r="U231"/>
      <c r="Y231"/>
      <c r="Z231"/>
    </row>
    <row r="232" spans="1:26" x14ac:dyDescent="0.25">
      <c r="N232" s="8"/>
      <c r="O232" s="8"/>
      <c r="P232" s="8"/>
      <c r="Q232" s="8"/>
      <c r="R232" s="8"/>
      <c r="S232" s="8"/>
      <c r="T232" s="8"/>
      <c r="U232" s="8"/>
    </row>
    <row r="233" spans="1:26" ht="33" customHeight="1" x14ac:dyDescent="0.25">
      <c r="Y233" s="8"/>
      <c r="Z233" s="8"/>
    </row>
    <row r="244" spans="1:26" s="8" customFormat="1" x14ac:dyDescent="0.25">
      <c r="A244" s="386"/>
      <c r="B244"/>
      <c r="C244"/>
      <c r="D244"/>
      <c r="E244"/>
      <c r="F244"/>
      <c r="G244"/>
      <c r="H244"/>
      <c r="I244"/>
      <c r="J244"/>
      <c r="K244"/>
      <c r="L244"/>
      <c r="M244"/>
      <c r="N244"/>
      <c r="O244"/>
      <c r="P244"/>
      <c r="Q244"/>
      <c r="R244"/>
      <c r="S244"/>
      <c r="T244"/>
      <c r="U244"/>
      <c r="Y244"/>
      <c r="Z244"/>
    </row>
    <row r="245" spans="1:26" x14ac:dyDescent="0.25">
      <c r="N245" s="8"/>
      <c r="O245" s="8"/>
      <c r="P245" s="8"/>
      <c r="Q245" s="8"/>
      <c r="R245" s="8"/>
      <c r="S245" s="8"/>
      <c r="T245" s="8"/>
      <c r="U245" s="8"/>
    </row>
    <row r="246" spans="1:26" ht="40.049999999999997" customHeight="1" x14ac:dyDescent="0.25">
      <c r="Y246" s="8"/>
      <c r="Z246" s="8"/>
    </row>
    <row r="249" spans="1:26" ht="37.950000000000003" customHeight="1" x14ac:dyDescent="0.25"/>
    <row r="257" spans="1:26" s="8" customFormat="1" x14ac:dyDescent="0.25">
      <c r="A257" s="386"/>
      <c r="B257"/>
      <c r="C257"/>
      <c r="D257"/>
      <c r="E257"/>
      <c r="F257"/>
      <c r="G257"/>
      <c r="H257"/>
      <c r="I257"/>
      <c r="J257"/>
      <c r="K257"/>
      <c r="L257"/>
      <c r="M257"/>
      <c r="N257"/>
      <c r="O257"/>
      <c r="P257"/>
      <c r="Q257"/>
      <c r="R257"/>
      <c r="S257"/>
      <c r="T257"/>
      <c r="U257"/>
      <c r="Y257"/>
      <c r="Z257"/>
    </row>
    <row r="258" spans="1:26" x14ac:dyDescent="0.25">
      <c r="N258" s="8"/>
      <c r="O258" s="8"/>
      <c r="P258" s="8"/>
      <c r="Q258" s="8"/>
      <c r="R258" s="8"/>
      <c r="S258" s="8"/>
      <c r="T258" s="8"/>
      <c r="U258" s="8"/>
    </row>
    <row r="259" spans="1:26" x14ac:dyDescent="0.25">
      <c r="Y259" s="8"/>
      <c r="Z259" s="8"/>
    </row>
  </sheetData>
  <mergeCells count="48">
    <mergeCell ref="O9:Q9"/>
    <mergeCell ref="T9:U9"/>
    <mergeCell ref="O18:Q18"/>
    <mergeCell ref="B67:D67"/>
    <mergeCell ref="B31:C31"/>
    <mergeCell ref="C34:D34"/>
    <mergeCell ref="B38:D38"/>
    <mergeCell ref="C41:D41"/>
    <mergeCell ref="B45:D45"/>
    <mergeCell ref="C48:D48"/>
    <mergeCell ref="B52:C52"/>
    <mergeCell ref="C55:D55"/>
    <mergeCell ref="B57:D57"/>
    <mergeCell ref="B2:C2"/>
    <mergeCell ref="B4:L4"/>
    <mergeCell ref="B11:D11"/>
    <mergeCell ref="B26:E26"/>
    <mergeCell ref="B28:D28"/>
    <mergeCell ref="B27:E27"/>
    <mergeCell ref="F118:G118"/>
    <mergeCell ref="H118:I118"/>
    <mergeCell ref="J118:K118"/>
    <mergeCell ref="F131:G131"/>
    <mergeCell ref="H131:I131"/>
    <mergeCell ref="J131:K131"/>
    <mergeCell ref="F139:G139"/>
    <mergeCell ref="H139:I139"/>
    <mergeCell ref="J139:K139"/>
    <mergeCell ref="B161:M161"/>
    <mergeCell ref="E163:G163"/>
    <mergeCell ref="H163:I163"/>
    <mergeCell ref="J163:K163"/>
    <mergeCell ref="L163:M163"/>
    <mergeCell ref="F110:G110"/>
    <mergeCell ref="H110:I110"/>
    <mergeCell ref="J110:K110"/>
    <mergeCell ref="F93:G93"/>
    <mergeCell ref="H93:I93"/>
    <mergeCell ref="J93:K93"/>
    <mergeCell ref="F79:G79"/>
    <mergeCell ref="H79:I79"/>
    <mergeCell ref="J79:K79"/>
    <mergeCell ref="B63:D63"/>
    <mergeCell ref="F71:G71"/>
    <mergeCell ref="H71:I71"/>
    <mergeCell ref="J71:K71"/>
    <mergeCell ref="B65:D65"/>
    <mergeCell ref="B69:E69"/>
  </mergeCells>
  <hyperlinks>
    <hyperlink ref="B2" location="Tilakokonaisuus!A1" display="PALAA ETUSIVULLE" xr:uid="{441FB669-88E2-2F4D-819C-219197217303}"/>
    <hyperlink ref="B2:C2" location="'Gårdens info'!A1" display="TILL FRAMSIDAN" xr:uid="{6C60EE27-1EB6-B349-B15F-4EBD3E9852DF}"/>
    <hyperlink ref="B26:E26" location="'Gårdens info'!C131" display="ALLMÄNNA KOSTNADER, hallonens andel" xr:uid="{FA5B5353-78A1-024E-BC68-6DB0911F2734}"/>
    <hyperlink ref="B60" location="'Hallon tunnel'!B180" display="SKÖRDEÅRENS KOSTNADER" xr:uid="{BDA12088-1A49-764C-98B3-9C616B7CA2CF}"/>
    <hyperlink ref="J69" location="'Hallon tunnel'!A1" display="TILL SIDANS BÖRJAN" xr:uid="{B4F20F74-D099-A345-875D-98869649FBCD}"/>
    <hyperlink ref="B31:C31" location="Ägendom!B15" display="BYGGNADER" xr:uid="{F725CB64-177F-4411-8A85-783EDAC130A5}"/>
    <hyperlink ref="B38:D38" location="Ägendom!B28" display="MASINER OCH UTRUSTNING" xr:uid="{5CC03CA1-90C3-4D9E-BF71-0B575615C99D}"/>
    <hyperlink ref="B45:D45" location="Ägendom!B51" display="LÅNGVARIGA PRODUKTIONSMEDEL" xr:uid="{F6FE4BC8-EEF7-408E-8ACF-8D9DCBFC82B2}"/>
    <hyperlink ref="B52:C52" location="Ägendom!B70" display="TÄCKDIKEN" xr:uid="{76A21B3E-48B8-4F70-926B-761633C275DE}"/>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C8BEBD-2CBF-8544-A3B2-AB6E4AFB7FBE}">
  <sheetPr>
    <tabColor theme="7" tint="0.39997558519241921"/>
  </sheetPr>
  <dimension ref="A1:Z399"/>
  <sheetViews>
    <sheetView topLeftCell="K22" zoomScale="107" zoomScaleNormal="100" workbookViewId="0">
      <selection activeCell="Y26" sqref="Y26"/>
    </sheetView>
  </sheetViews>
  <sheetFormatPr defaultColWidth="11.44140625" defaultRowHeight="13.2" x14ac:dyDescent="0.25"/>
  <cols>
    <col min="1" max="1" width="5.33203125" style="585" customWidth="1"/>
    <col min="3" max="3" width="16.77734375" customWidth="1"/>
    <col min="4" max="4" width="22.6640625" customWidth="1"/>
    <col min="5" max="5" width="12.109375" bestFit="1" customWidth="1"/>
    <col min="7" max="7" width="6.33203125" customWidth="1"/>
    <col min="9" max="9" width="6" customWidth="1"/>
    <col min="10" max="10" width="15.109375" customWidth="1"/>
    <col min="11" max="11" width="9.6640625" customWidth="1"/>
    <col min="12" max="12" width="20" customWidth="1"/>
    <col min="13" max="13" width="12.109375" customWidth="1"/>
    <col min="27" max="27" width="19" customWidth="1"/>
  </cols>
  <sheetData>
    <row r="1" spans="1:21" s="585" customFormat="1" ht="22.8" x14ac:dyDescent="0.4">
      <c r="B1" s="592" t="s">
        <v>125</v>
      </c>
    </row>
    <row r="2" spans="1:21" ht="27" customHeight="1" x14ac:dyDescent="0.3">
      <c r="B2" s="976" t="s">
        <v>337</v>
      </c>
      <c r="C2" s="976"/>
    </row>
    <row r="3" spans="1:21" ht="27" customHeight="1" x14ac:dyDescent="0.3">
      <c r="B3" s="233"/>
      <c r="C3" s="233"/>
    </row>
    <row r="4" spans="1:21" ht="139.94999999999999" customHeight="1" x14ac:dyDescent="0.3">
      <c r="B4" s="942" t="s">
        <v>371</v>
      </c>
      <c r="C4" s="942"/>
      <c r="D4" s="942"/>
      <c r="E4" s="942"/>
      <c r="F4" s="942"/>
      <c r="G4" s="942"/>
      <c r="H4" s="942"/>
      <c r="I4" s="942"/>
      <c r="J4" s="942"/>
      <c r="K4" s="942"/>
      <c r="L4" s="942"/>
    </row>
    <row r="5" spans="1:21" ht="27" customHeight="1" thickBot="1" x14ac:dyDescent="0.35">
      <c r="B5" s="233"/>
      <c r="C5" s="233"/>
    </row>
    <row r="6" spans="1:21" ht="27" customHeight="1" x14ac:dyDescent="0.4">
      <c r="B6" s="318" t="s">
        <v>376</v>
      </c>
      <c r="C6" s="282"/>
      <c r="D6" s="283"/>
      <c r="E6" s="283"/>
      <c r="F6" s="283"/>
      <c r="G6" s="283"/>
      <c r="H6" s="283"/>
      <c r="I6" s="283"/>
      <c r="J6" s="283"/>
      <c r="K6" s="283"/>
      <c r="L6" s="283"/>
      <c r="M6" s="284"/>
      <c r="N6" s="441"/>
      <c r="O6" s="283"/>
      <c r="P6" s="283"/>
      <c r="Q6" s="283"/>
      <c r="R6" s="283"/>
      <c r="S6" s="283"/>
      <c r="T6" s="283"/>
      <c r="U6" s="284"/>
    </row>
    <row r="7" spans="1:21" ht="27" customHeight="1" x14ac:dyDescent="0.4">
      <c r="B7" s="285"/>
      <c r="C7" s="286"/>
      <c r="D7" s="148"/>
      <c r="E7" s="148"/>
      <c r="F7" s="148"/>
      <c r="G7" s="148"/>
      <c r="H7" s="148"/>
      <c r="I7" s="148"/>
      <c r="J7" s="148"/>
      <c r="K7" s="148"/>
      <c r="L7" s="148"/>
      <c r="M7" s="287"/>
      <c r="N7" s="442"/>
      <c r="O7" s="148"/>
      <c r="P7" s="148"/>
      <c r="Q7" s="148"/>
      <c r="R7" s="148"/>
      <c r="S7" s="148"/>
      <c r="T7" s="148"/>
      <c r="U7" s="287"/>
    </row>
    <row r="8" spans="1:21" ht="21" x14ac:dyDescent="0.4">
      <c r="B8" s="319" t="s">
        <v>373</v>
      </c>
      <c r="C8" s="286"/>
      <c r="D8" s="148"/>
      <c r="E8" s="151"/>
      <c r="F8" s="151"/>
      <c r="G8" s="151"/>
      <c r="H8" s="151"/>
      <c r="I8" s="148"/>
      <c r="J8" s="148"/>
      <c r="K8" s="148"/>
      <c r="L8" s="148"/>
      <c r="M8" s="287"/>
      <c r="N8" s="319" t="s">
        <v>239</v>
      </c>
      <c r="O8" s="148"/>
      <c r="P8" s="148"/>
      <c r="Q8" s="148"/>
      <c r="R8" s="148"/>
      <c r="S8" s="148"/>
      <c r="T8" s="148"/>
      <c r="U8" s="300"/>
    </row>
    <row r="9" spans="1:21" ht="16.2" thickBot="1" x14ac:dyDescent="0.35">
      <c r="B9" s="288"/>
      <c r="C9" s="289" t="s">
        <v>239</v>
      </c>
      <c r="D9" s="151"/>
      <c r="E9" s="151"/>
      <c r="F9" s="290">
        <f>IF('Gårdens info'!D26&gt;0,H9*'Gårdens info'!G26,0)</f>
        <v>18850</v>
      </c>
      <c r="G9" s="151" t="s">
        <v>14</v>
      </c>
      <c r="H9" s="619">
        <f>IF('Gårdens info'!G26&gt;0,(('Gårdens info'!G26*S10*T10)+('Gårdens info'!G26*S11*T11)+('Gårdens info'!G26*S12*T12)+('Gårdens info'!G26*S13*T13)+('Gårdens info'!G26*S14*T14)+('Gårdens info'!G26*S15*T15)+('Gårdens info'!G26*S16*T16)+('Gårdens info'!G26*S17*T17))/(('Gårdens info'!G26)),0)</f>
        <v>3.25</v>
      </c>
      <c r="I9" s="151" t="s">
        <v>6</v>
      </c>
      <c r="J9" s="290">
        <f>F9*'Gårdens info'!D26</f>
        <v>94250</v>
      </c>
      <c r="K9" s="151" t="s">
        <v>531</v>
      </c>
      <c r="L9" s="151"/>
      <c r="M9" s="287"/>
      <c r="N9" s="442"/>
      <c r="O9" s="943" t="s">
        <v>366</v>
      </c>
      <c r="P9" s="943"/>
      <c r="Q9" s="943"/>
      <c r="R9" s="443"/>
      <c r="S9" s="444" t="s">
        <v>339</v>
      </c>
      <c r="T9" s="967" t="s">
        <v>340</v>
      </c>
      <c r="U9" s="968"/>
    </row>
    <row r="10" spans="1:21" ht="15.6" thickBot="1" x14ac:dyDescent="0.3">
      <c r="B10" s="288"/>
      <c r="C10" s="151" t="s">
        <v>224</v>
      </c>
      <c r="D10" s="151"/>
      <c r="E10" s="151"/>
      <c r="F10" s="290">
        <f>IF('Gårdens info'!D26&gt;0,Stöd!J6/'Gårdens info'!D37*Stöd!L6+Stöd!J7/'Gårdens info'!D37*Stöd!L7+Stöd!J8/'Gårdens info'!D37*Stöd!L8+Stöd!J12/'Gårdens info'!D37*Stöd!L12+Stöd!J13/'Gårdens info'!D37*Stöd!L13+Stöd!J15/'Gårdens info'!D37*Stöd!L15+Stöd!J16/'Gårdens info'!D37*Stöd!L16+Stöd!J18/'Gårdens info'!D37*Stöd!L18+Stöd!J19/'Gårdens info'!D37*Stöd!L19+Stöd!J20/'Gårdens info'!D37*Stöd!L20+Stöd!J21/'Gårdens info'!D37*Stöd!L21,0)</f>
        <v>0</v>
      </c>
      <c r="G10" s="151" t="s">
        <v>14</v>
      </c>
      <c r="H10" s="619">
        <f>IF('Gårdens info'!G26&gt;0,F10/'Gårdens info'!G26,0)</f>
        <v>0</v>
      </c>
      <c r="I10" s="151" t="s">
        <v>6</v>
      </c>
      <c r="J10" s="290">
        <f>F10*'Gårdens info'!D26</f>
        <v>0</v>
      </c>
      <c r="K10" s="151" t="s">
        <v>531</v>
      </c>
      <c r="L10" s="151"/>
      <c r="M10" s="287"/>
      <c r="N10" s="442"/>
      <c r="O10" s="151">
        <v>1</v>
      </c>
      <c r="P10" s="151" t="s">
        <v>21</v>
      </c>
      <c r="Q10" s="151" t="s">
        <v>530</v>
      </c>
      <c r="R10" s="151"/>
      <c r="S10" s="452">
        <v>1</v>
      </c>
      <c r="T10" s="317">
        <v>3.25</v>
      </c>
      <c r="U10" s="300" t="s">
        <v>6</v>
      </c>
    </row>
    <row r="11" spans="1:21" s="8" customFormat="1" ht="21.6" customHeight="1" thickBot="1" x14ac:dyDescent="0.45">
      <c r="A11" s="586"/>
      <c r="B11" s="932" t="s">
        <v>240</v>
      </c>
      <c r="C11" s="933"/>
      <c r="D11" s="933"/>
      <c r="E11" s="324"/>
      <c r="F11" s="328">
        <f>F9+F10</f>
        <v>18850</v>
      </c>
      <c r="G11" s="329" t="s">
        <v>14</v>
      </c>
      <c r="H11" s="618">
        <f>H9+H10</f>
        <v>3.25</v>
      </c>
      <c r="I11" s="329" t="s">
        <v>6</v>
      </c>
      <c r="J11" s="331">
        <f>J9+J10</f>
        <v>94250</v>
      </c>
      <c r="K11" s="329" t="s">
        <v>531</v>
      </c>
      <c r="L11" s="329"/>
      <c r="M11" s="321"/>
      <c r="N11" s="445"/>
      <c r="O11" s="151">
        <v>3</v>
      </c>
      <c r="P11" s="151" t="s">
        <v>21</v>
      </c>
      <c r="Q11" s="151" t="s">
        <v>390</v>
      </c>
      <c r="R11" s="151"/>
      <c r="S11" s="454">
        <v>0</v>
      </c>
      <c r="T11" s="317"/>
      <c r="U11" s="300" t="s">
        <v>6</v>
      </c>
    </row>
    <row r="12" spans="1:21" ht="22.05" customHeight="1" thickBot="1" x14ac:dyDescent="0.45">
      <c r="B12" s="832"/>
      <c r="C12" s="833"/>
      <c r="D12" s="833"/>
      <c r="E12" s="148"/>
      <c r="F12" s="148"/>
      <c r="G12" s="148"/>
      <c r="H12" s="148"/>
      <c r="I12" s="148"/>
      <c r="J12" s="293"/>
      <c r="K12" s="148"/>
      <c r="L12" s="148"/>
      <c r="M12" s="287"/>
      <c r="N12" s="445"/>
      <c r="O12" s="151">
        <v>5</v>
      </c>
      <c r="P12" s="151" t="s">
        <v>21</v>
      </c>
      <c r="Q12" s="151" t="s">
        <v>390</v>
      </c>
      <c r="R12" s="151"/>
      <c r="S12" s="454">
        <v>0</v>
      </c>
      <c r="T12" s="317"/>
      <c r="U12" s="300" t="s">
        <v>6</v>
      </c>
    </row>
    <row r="13" spans="1:21" ht="18" thickBot="1" x14ac:dyDescent="0.35">
      <c r="B13" s="292"/>
      <c r="C13" s="286"/>
      <c r="D13" s="148"/>
      <c r="E13" s="148"/>
      <c r="F13" s="148"/>
      <c r="G13" s="148"/>
      <c r="H13" s="148"/>
      <c r="I13" s="148"/>
      <c r="J13" s="293"/>
      <c r="K13" s="148"/>
      <c r="L13" s="148"/>
      <c r="M13" s="287"/>
      <c r="N13" s="442"/>
      <c r="O13" s="151">
        <v>0.5</v>
      </c>
      <c r="P13" s="151" t="s">
        <v>21</v>
      </c>
      <c r="Q13" s="151" t="s">
        <v>391</v>
      </c>
      <c r="R13" s="151"/>
      <c r="S13" s="454">
        <v>0</v>
      </c>
      <c r="T13" s="317"/>
      <c r="U13" s="300" t="s">
        <v>6</v>
      </c>
    </row>
    <row r="14" spans="1:21" s="77" customFormat="1" ht="21.6" thickBot="1" x14ac:dyDescent="0.45">
      <c r="A14" s="587"/>
      <c r="B14" s="319" t="s">
        <v>241</v>
      </c>
      <c r="C14" s="286"/>
      <c r="D14" s="148"/>
      <c r="E14" s="153"/>
      <c r="F14" s="153"/>
      <c r="G14" s="153"/>
      <c r="H14" s="153"/>
      <c r="I14" s="153"/>
      <c r="J14" s="294"/>
      <c r="K14" s="153"/>
      <c r="L14" s="153"/>
      <c r="M14" s="295"/>
      <c r="N14" s="442"/>
      <c r="O14" s="151">
        <v>0.25</v>
      </c>
      <c r="P14" s="151" t="s">
        <v>21</v>
      </c>
      <c r="Q14" s="151" t="s">
        <v>391</v>
      </c>
      <c r="R14" s="151"/>
      <c r="S14" s="454">
        <v>0</v>
      </c>
      <c r="T14" s="317"/>
      <c r="U14" s="300" t="s">
        <v>6</v>
      </c>
    </row>
    <row r="15" spans="1:21" s="91" customFormat="1" ht="15.6" thickBot="1" x14ac:dyDescent="0.3">
      <c r="A15" s="588"/>
      <c r="B15" s="296"/>
      <c r="C15" s="289" t="s">
        <v>385</v>
      </c>
      <c r="D15" s="297"/>
      <c r="E15" s="297"/>
      <c r="F15" s="298">
        <f>IF('Gårdens info'!D26&gt;0,J111/'Gårdens info'!I26,0)</f>
        <v>1033</v>
      </c>
      <c r="G15" s="151" t="s">
        <v>14</v>
      </c>
      <c r="H15" s="614">
        <f>IF('Gårdens info'!$G$26&gt;0,F15/'Gårdens info'!$G$26,0)</f>
        <v>0.17810344827586208</v>
      </c>
      <c r="I15" s="151" t="s">
        <v>6</v>
      </c>
      <c r="J15" s="298">
        <f>F15*'Gårdens info'!$D$26</f>
        <v>5165</v>
      </c>
      <c r="K15" s="151" t="s">
        <v>531</v>
      </c>
      <c r="L15" s="297"/>
      <c r="M15" s="300"/>
      <c r="N15" s="442"/>
      <c r="O15" s="812">
        <f>D295</f>
        <v>0</v>
      </c>
      <c r="P15" s="151" t="s">
        <v>21</v>
      </c>
      <c r="Q15" s="151" t="str">
        <f>C295</f>
        <v>Förpackning X</v>
      </c>
      <c r="R15" s="151"/>
      <c r="S15" s="454">
        <v>0</v>
      </c>
      <c r="T15" s="317"/>
      <c r="U15" s="300" t="s">
        <v>6</v>
      </c>
    </row>
    <row r="16" spans="1:21" s="91" customFormat="1" ht="15.6" thickBot="1" x14ac:dyDescent="0.3">
      <c r="A16" s="588"/>
      <c r="B16" s="296"/>
      <c r="C16" s="289" t="s">
        <v>244</v>
      </c>
      <c r="D16" s="297"/>
      <c r="E16" s="297"/>
      <c r="F16" s="298">
        <f>IF('Gårdens info'!D26&gt;0,J120/'Gårdens info'!I26,0)</f>
        <v>350.5</v>
      </c>
      <c r="G16" s="151" t="s">
        <v>14</v>
      </c>
      <c r="H16" s="614">
        <f>IF('Gårdens info'!$G$26&gt;0,F16/'Gårdens info'!$G$26,0)</f>
        <v>6.0431034482758619E-2</v>
      </c>
      <c r="I16" s="151" t="s">
        <v>6</v>
      </c>
      <c r="J16" s="298">
        <f>F16*'Gårdens info'!$D$26</f>
        <v>1752.5</v>
      </c>
      <c r="K16" s="151" t="s">
        <v>531</v>
      </c>
      <c r="L16" s="297"/>
      <c r="M16" s="300"/>
      <c r="N16" s="442"/>
      <c r="O16" s="812">
        <f t="shared" ref="O16:O17" si="0">D296</f>
        <v>0</v>
      </c>
      <c r="P16" s="151" t="s">
        <v>21</v>
      </c>
      <c r="Q16" s="151" t="str">
        <f t="shared" ref="Q16:Q17" si="1">C296</f>
        <v>Förpackning X</v>
      </c>
      <c r="R16" s="151"/>
      <c r="S16" s="453">
        <v>0</v>
      </c>
      <c r="T16" s="317"/>
      <c r="U16" s="300" t="s">
        <v>6</v>
      </c>
    </row>
    <row r="17" spans="1:26" s="91" customFormat="1" ht="15.6" thickBot="1" x14ac:dyDescent="0.3">
      <c r="A17" s="588"/>
      <c r="B17" s="296"/>
      <c r="C17" s="289" t="s">
        <v>386</v>
      </c>
      <c r="D17" s="297"/>
      <c r="E17" s="297"/>
      <c r="F17" s="298">
        <f>IF('Gårdens info'!D26&gt;0,J134/'Gårdens info'!I26,0)</f>
        <v>5.5439999999999996</v>
      </c>
      <c r="G17" s="151" t="s">
        <v>14</v>
      </c>
      <c r="H17" s="614">
        <f>IF('Gårdens info'!$G$26&gt;0,F17/'Gårdens info'!$G$26,0)</f>
        <v>9.5586206896551714E-4</v>
      </c>
      <c r="I17" s="151" t="s">
        <v>6</v>
      </c>
      <c r="J17" s="298">
        <f>F17*'Gårdens info'!$D$26</f>
        <v>27.72</v>
      </c>
      <c r="K17" s="151" t="s">
        <v>531</v>
      </c>
      <c r="L17" s="297"/>
      <c r="M17" s="300"/>
      <c r="N17" s="442"/>
      <c r="O17" s="812">
        <f t="shared" si="0"/>
        <v>0</v>
      </c>
      <c r="P17" s="151" t="s">
        <v>21</v>
      </c>
      <c r="Q17" s="151" t="str">
        <f t="shared" si="1"/>
        <v>Förpackning X</v>
      </c>
      <c r="R17" s="151"/>
      <c r="S17" s="453">
        <v>0</v>
      </c>
      <c r="T17" s="317"/>
      <c r="U17" s="300" t="s">
        <v>6</v>
      </c>
    </row>
    <row r="18" spans="1:26" s="91" customFormat="1" ht="17.399999999999999" x14ac:dyDescent="0.3">
      <c r="A18" s="588"/>
      <c r="B18" s="296"/>
      <c r="C18" s="289" t="s">
        <v>387</v>
      </c>
      <c r="D18" s="297"/>
      <c r="E18" s="297"/>
      <c r="F18" s="298">
        <f>IF('Gårdens info'!D26&gt;0,J142/'Gårdens info'!I26,0)</f>
        <v>0</v>
      </c>
      <c r="G18" s="151" t="s">
        <v>14</v>
      </c>
      <c r="H18" s="614">
        <f>IF('Gårdens info'!$G$26&gt;0,F18/'Gårdens info'!$G$26,0)</f>
        <v>0</v>
      </c>
      <c r="I18" s="151" t="s">
        <v>6</v>
      </c>
      <c r="J18" s="298">
        <f>F18*'Gårdens info'!$D$26</f>
        <v>0</v>
      </c>
      <c r="K18" s="151" t="s">
        <v>531</v>
      </c>
      <c r="L18" s="297"/>
      <c r="M18" s="300"/>
      <c r="N18" s="446"/>
      <c r="O18" s="946" t="s">
        <v>196</v>
      </c>
      <c r="P18" s="946"/>
      <c r="Q18" s="946"/>
      <c r="R18" s="153"/>
      <c r="S18" s="450">
        <f>SUM(S10:S17)</f>
        <v>1</v>
      </c>
      <c r="T18" s="153"/>
      <c r="U18" s="295"/>
    </row>
    <row r="19" spans="1:26" s="91" customFormat="1" ht="15.6" x14ac:dyDescent="0.3">
      <c r="A19" s="588"/>
      <c r="B19" s="296"/>
      <c r="C19" s="289" t="s">
        <v>249</v>
      </c>
      <c r="D19" s="297"/>
      <c r="E19" s="297"/>
      <c r="F19" s="298">
        <f>IF('Gårdens info'!D26&gt;0,J154/'Gårdens info'!I26,0)</f>
        <v>81.238799999999998</v>
      </c>
      <c r="G19" s="151" t="s">
        <v>14</v>
      </c>
      <c r="H19" s="614">
        <f>IF('Gårdens info'!$G$26&gt;0,F19/'Gårdens info'!$G$26,0)</f>
        <v>1.4006689655172414E-2</v>
      </c>
      <c r="I19" s="151" t="s">
        <v>6</v>
      </c>
      <c r="J19" s="298">
        <f>F19*'Gårdens info'!$D$26</f>
        <v>406.19399999999996</v>
      </c>
      <c r="K19" s="151" t="s">
        <v>531</v>
      </c>
      <c r="L19" s="297"/>
      <c r="M19" s="300"/>
      <c r="N19" s="288"/>
      <c r="O19" s="451" t="str">
        <f>IF(S18=100%," ","HUOM! Osuus myyynneistä pitää summautua 100 prosenttiin")</f>
        <v xml:space="preserve"> </v>
      </c>
      <c r="P19" s="151"/>
      <c r="R19" s="151"/>
      <c r="S19" s="151"/>
      <c r="T19" s="151"/>
      <c r="U19" s="300"/>
    </row>
    <row r="20" spans="1:26" s="91" customFormat="1" ht="15.6" thickBot="1" x14ac:dyDescent="0.3">
      <c r="A20" s="588"/>
      <c r="B20" s="296"/>
      <c r="C20" s="289" t="s">
        <v>388</v>
      </c>
      <c r="D20" s="297"/>
      <c r="E20" s="297"/>
      <c r="F20" s="298">
        <f>IF('Gårdens info'!D26&gt;0,L179/'Gårdens info'!I26,0)</f>
        <v>116</v>
      </c>
      <c r="G20" s="151" t="s">
        <v>14</v>
      </c>
      <c r="H20" s="614">
        <f>IF('Gårdens info'!$G$26&gt;0,F20/'Gårdens info'!$G$26,0)</f>
        <v>0.02</v>
      </c>
      <c r="I20" s="151" t="s">
        <v>6</v>
      </c>
      <c r="J20" s="298">
        <f>F20*'Gårdens info'!$D$26</f>
        <v>580</v>
      </c>
      <c r="K20" s="151" t="s">
        <v>531</v>
      </c>
      <c r="L20" s="297"/>
      <c r="M20" s="300"/>
      <c r="N20" s="447"/>
      <c r="O20" s="448"/>
      <c r="P20" s="448"/>
      <c r="Q20" s="448"/>
      <c r="R20" s="448"/>
      <c r="S20" s="448"/>
      <c r="T20" s="448"/>
      <c r="U20" s="449"/>
    </row>
    <row r="21" spans="1:26" s="91" customFormat="1" ht="15.6" x14ac:dyDescent="0.3">
      <c r="A21" s="588"/>
      <c r="B21" s="296"/>
      <c r="C21" s="301" t="s">
        <v>196</v>
      </c>
      <c r="D21" s="302"/>
      <c r="E21" s="302"/>
      <c r="F21" s="303">
        <f>SUM(F15:F20)</f>
        <v>1586.2828000000002</v>
      </c>
      <c r="G21" s="304" t="s">
        <v>14</v>
      </c>
      <c r="H21" s="615">
        <f>SUM(H15:H20)</f>
        <v>0.27349703448275869</v>
      </c>
      <c r="I21" s="304" t="s">
        <v>6</v>
      </c>
      <c r="J21" s="303">
        <f>SUM(J15:J20)</f>
        <v>7931.4140000000007</v>
      </c>
      <c r="K21" s="304" t="s">
        <v>531</v>
      </c>
      <c r="L21" s="302"/>
      <c r="M21" s="300"/>
    </row>
    <row r="22" spans="1:26" ht="17.399999999999999" x14ac:dyDescent="0.3">
      <c r="B22" s="292"/>
      <c r="C22" s="306"/>
      <c r="D22" s="307"/>
      <c r="E22" s="307"/>
      <c r="F22" s="308"/>
      <c r="G22" s="151"/>
      <c r="H22" s="307"/>
      <c r="I22" s="307"/>
      <c r="J22" s="307"/>
      <c r="K22" s="307"/>
      <c r="L22" s="307"/>
      <c r="M22" s="287"/>
      <c r="N22" s="91"/>
      <c r="O22" s="91"/>
      <c r="P22" s="91"/>
      <c r="Q22" s="91"/>
      <c r="R22" s="91"/>
      <c r="S22" s="91"/>
      <c r="T22" s="91"/>
      <c r="U22" s="91"/>
    </row>
    <row r="23" spans="1:26" s="77" customFormat="1" ht="17.399999999999999" x14ac:dyDescent="0.3">
      <c r="A23" s="587"/>
      <c r="B23" s="972" t="s">
        <v>383</v>
      </c>
      <c r="C23" s="973"/>
      <c r="D23" s="973"/>
      <c r="E23" s="153"/>
      <c r="F23" s="153"/>
      <c r="G23" s="153"/>
      <c r="H23" s="153"/>
      <c r="I23" s="153"/>
      <c r="J23" s="294"/>
      <c r="K23" s="153"/>
      <c r="L23" s="153"/>
      <c r="M23" s="295"/>
      <c r="N23"/>
      <c r="O23"/>
      <c r="P23"/>
      <c r="Q23"/>
      <c r="R23"/>
      <c r="S23"/>
      <c r="T23"/>
      <c r="U23"/>
    </row>
    <row r="24" spans="1:26" s="91" customFormat="1" ht="17.399999999999999" x14ac:dyDescent="0.3">
      <c r="A24" s="588"/>
      <c r="B24" s="296"/>
      <c r="C24" s="289" t="s">
        <v>385</v>
      </c>
      <c r="D24" s="297"/>
      <c r="E24" s="297"/>
      <c r="F24" s="298">
        <f>IF('Gårdens info'!D26&gt;0,J191*'Gårdens info'!K26/'Gårdens info'!I26,0)</f>
        <v>83</v>
      </c>
      <c r="G24" s="151" t="s">
        <v>14</v>
      </c>
      <c r="H24" s="614">
        <f>IF('Gårdens info'!$G$26&gt;0,F24/'Gårdens info'!$G$26,0)</f>
        <v>1.4310344827586207E-2</v>
      </c>
      <c r="I24" s="151" t="s">
        <v>6</v>
      </c>
      <c r="J24" s="298">
        <f>F24*'Gårdens info'!$D$26</f>
        <v>415</v>
      </c>
      <c r="K24" s="151" t="s">
        <v>531</v>
      </c>
      <c r="L24" s="297"/>
      <c r="M24" s="300"/>
      <c r="N24" s="77"/>
      <c r="O24" s="77"/>
      <c r="P24" s="77"/>
      <c r="Q24" s="77"/>
      <c r="R24" s="77"/>
      <c r="S24" s="77"/>
      <c r="T24" s="77"/>
      <c r="U24" s="77"/>
    </row>
    <row r="25" spans="1:26" s="91" customFormat="1" ht="15" x14ac:dyDescent="0.25">
      <c r="A25" s="588"/>
      <c r="B25" s="296"/>
      <c r="C25" s="289" t="s">
        <v>244</v>
      </c>
      <c r="D25" s="297"/>
      <c r="E25" s="297"/>
      <c r="F25" s="298">
        <f>IF('Gårdens info'!D26&gt;0,J200*'Gårdens info'!K26/'Gårdens info'!I26,0)</f>
        <v>75.3</v>
      </c>
      <c r="G25" s="151" t="s">
        <v>14</v>
      </c>
      <c r="H25" s="614">
        <f>IF('Gårdens info'!$G$26&gt;0,F25/'Gårdens info'!$G$26,0)</f>
        <v>1.2982758620689655E-2</v>
      </c>
      <c r="I25" s="151" t="s">
        <v>6</v>
      </c>
      <c r="J25" s="298">
        <f>F25*'Gårdens info'!$D$26</f>
        <v>376.5</v>
      </c>
      <c r="K25" s="151" t="s">
        <v>531</v>
      </c>
      <c r="L25" s="297"/>
      <c r="M25" s="300"/>
    </row>
    <row r="26" spans="1:26" s="91" customFormat="1" ht="15" x14ac:dyDescent="0.25">
      <c r="A26" s="588"/>
      <c r="B26" s="296"/>
      <c r="C26" s="289" t="s">
        <v>245</v>
      </c>
      <c r="D26" s="297"/>
      <c r="E26" s="297"/>
      <c r="F26" s="298">
        <f>IF('Gårdens info'!D26&gt;0,J214*'Gårdens info'!K26/'Gårdens info'!I26,0)</f>
        <v>4.8795000000000002</v>
      </c>
      <c r="G26" s="151" t="s">
        <v>14</v>
      </c>
      <c r="H26" s="614">
        <f>IF('Gårdens info'!$G$26&gt;0,F26/'Gårdens info'!$G$26,0)</f>
        <v>8.4129310344827589E-4</v>
      </c>
      <c r="I26" s="151" t="s">
        <v>6</v>
      </c>
      <c r="J26" s="298">
        <f>F26*'Gårdens info'!$D$26</f>
        <v>24.397500000000001</v>
      </c>
      <c r="K26" s="151" t="s">
        <v>531</v>
      </c>
      <c r="L26" s="297"/>
      <c r="M26" s="300"/>
      <c r="Y26" s="858"/>
    </row>
    <row r="27" spans="1:26" s="91" customFormat="1" ht="15" x14ac:dyDescent="0.25">
      <c r="A27" s="588"/>
      <c r="B27" s="296"/>
      <c r="C27" s="289" t="s">
        <v>387</v>
      </c>
      <c r="D27" s="297"/>
      <c r="E27" s="297"/>
      <c r="F27" s="298">
        <f>IF('Gårdens info'!D26&gt;0,J222*'Gårdens info'!K26/'Gårdens info'!I26,0)</f>
        <v>0</v>
      </c>
      <c r="G27" s="151" t="s">
        <v>14</v>
      </c>
      <c r="H27" s="614">
        <f>IF('Gårdens info'!$G$26&gt;0,F27/'Gårdens info'!$G$26,0)</f>
        <v>0</v>
      </c>
      <c r="I27" s="151" t="s">
        <v>6</v>
      </c>
      <c r="J27" s="298">
        <f>F27*'Gårdens info'!$D$26</f>
        <v>0</v>
      </c>
      <c r="K27" s="151" t="s">
        <v>531</v>
      </c>
      <c r="L27" s="297"/>
      <c r="M27" s="300"/>
      <c r="Y27" s="886" t="s">
        <v>244</v>
      </c>
      <c r="Z27" s="603">
        <f>F33</f>
        <v>351.90000000000003</v>
      </c>
    </row>
    <row r="28" spans="1:26" s="91" customFormat="1" ht="15" x14ac:dyDescent="0.25">
      <c r="A28" s="588"/>
      <c r="B28" s="296"/>
      <c r="C28" s="289" t="s">
        <v>249</v>
      </c>
      <c r="D28" s="297"/>
      <c r="E28" s="297"/>
      <c r="F28" s="298">
        <f>IF('Gårdens info'!D26&gt;0,J234*'Gårdens info'!K26/'Gårdens info'!I26,0)</f>
        <v>109.68960000000001</v>
      </c>
      <c r="G28" s="151" t="s">
        <v>14</v>
      </c>
      <c r="H28" s="614">
        <f>IF('Gårdens info'!$G$26&gt;0,F28/'Gårdens info'!$G$26,0)</f>
        <v>1.8912000000000002E-2</v>
      </c>
      <c r="I28" s="151" t="s">
        <v>6</v>
      </c>
      <c r="J28" s="298">
        <f>F28*'Gårdens info'!$D$26</f>
        <v>548.44800000000009</v>
      </c>
      <c r="K28" s="151" t="s">
        <v>531</v>
      </c>
      <c r="L28" s="297"/>
      <c r="M28" s="300"/>
      <c r="Y28" s="886" t="s">
        <v>556</v>
      </c>
      <c r="Z28" s="603">
        <f t="shared" ref="Z28:Z34" si="2">F34</f>
        <v>800</v>
      </c>
    </row>
    <row r="29" spans="1:26" s="91" customFormat="1" ht="15" x14ac:dyDescent="0.25">
      <c r="A29" s="588"/>
      <c r="B29" s="296"/>
      <c r="C29" s="289" t="s">
        <v>388</v>
      </c>
      <c r="D29" s="297"/>
      <c r="E29" s="297"/>
      <c r="F29" s="298">
        <f>IF('Gårdens info'!D26&gt;0,L253*'Gårdens info'!K26/'Gårdens info'!I26,0)</f>
        <v>116</v>
      </c>
      <c r="G29" s="151" t="s">
        <v>14</v>
      </c>
      <c r="H29" s="614">
        <f>IF('Gårdens info'!$G$26&gt;0,F29/'Gårdens info'!$G$26,0)</f>
        <v>0.02</v>
      </c>
      <c r="I29" s="151" t="s">
        <v>6</v>
      </c>
      <c r="J29" s="298">
        <f>F29*'Gårdens info'!$D$26</f>
        <v>580</v>
      </c>
      <c r="K29" s="151" t="s">
        <v>531</v>
      </c>
      <c r="L29" s="297"/>
      <c r="M29" s="300"/>
      <c r="Y29" s="886" t="s">
        <v>392</v>
      </c>
      <c r="Z29" s="603">
        <f t="shared" si="2"/>
        <v>0</v>
      </c>
    </row>
    <row r="30" spans="1:26" s="91" customFormat="1" ht="15.6" x14ac:dyDescent="0.3">
      <c r="A30" s="588"/>
      <c r="B30" s="296"/>
      <c r="C30" s="301" t="s">
        <v>196</v>
      </c>
      <c r="D30" s="302"/>
      <c r="E30" s="302"/>
      <c r="F30" s="303">
        <f>SUM(F24:F29)</f>
        <v>388.8691</v>
      </c>
      <c r="G30" s="304" t="s">
        <v>14</v>
      </c>
      <c r="H30" s="615">
        <f>SUM(H24:H29)</f>
        <v>6.7046396551724147E-2</v>
      </c>
      <c r="I30" s="304" t="s">
        <v>6</v>
      </c>
      <c r="J30" s="303">
        <f>SUM(J24:J29)</f>
        <v>1944.3455000000001</v>
      </c>
      <c r="K30" s="304" t="s">
        <v>531</v>
      </c>
      <c r="L30" s="302"/>
      <c r="M30" s="300"/>
      <c r="Y30" s="886" t="s">
        <v>393</v>
      </c>
      <c r="Z30" s="603">
        <f t="shared" si="2"/>
        <v>0</v>
      </c>
    </row>
    <row r="31" spans="1:26" ht="17.399999999999999" x14ac:dyDescent="0.3">
      <c r="B31" s="292"/>
      <c r="C31" s="306"/>
      <c r="D31" s="307"/>
      <c r="E31" s="307"/>
      <c r="F31" s="308"/>
      <c r="G31" s="151"/>
      <c r="H31" s="307"/>
      <c r="I31" s="307"/>
      <c r="J31" s="307"/>
      <c r="K31" s="307"/>
      <c r="L31" s="307"/>
      <c r="M31" s="287"/>
      <c r="N31" s="91"/>
      <c r="O31" s="91"/>
      <c r="P31" s="91"/>
      <c r="Q31" s="91"/>
      <c r="R31" s="91"/>
      <c r="S31" s="91"/>
      <c r="T31" s="91"/>
      <c r="U31" s="91"/>
      <c r="Y31" s="886" t="s">
        <v>394</v>
      </c>
      <c r="Z31" s="603">
        <f t="shared" si="2"/>
        <v>14500</v>
      </c>
    </row>
    <row r="32" spans="1:26" s="77" customFormat="1" ht="17.399999999999999" x14ac:dyDescent="0.3">
      <c r="A32" s="587"/>
      <c r="B32" s="850" t="s">
        <v>270</v>
      </c>
      <c r="C32" s="306"/>
      <c r="D32" s="310"/>
      <c r="E32" s="310"/>
      <c r="F32" s="311"/>
      <c r="G32" s="153"/>
      <c r="H32" s="310"/>
      <c r="I32" s="310"/>
      <c r="J32" s="310"/>
      <c r="K32" s="310"/>
      <c r="L32" s="310"/>
      <c r="M32" s="295"/>
      <c r="N32"/>
      <c r="O32"/>
      <c r="P32"/>
      <c r="Q32"/>
      <c r="R32"/>
      <c r="S32"/>
      <c r="T32"/>
      <c r="U32"/>
      <c r="Y32" s="886" t="s">
        <v>387</v>
      </c>
      <c r="Z32" s="603">
        <f t="shared" si="2"/>
        <v>2250</v>
      </c>
    </row>
    <row r="33" spans="1:26" s="91" customFormat="1" ht="17.399999999999999" x14ac:dyDescent="0.3">
      <c r="A33" s="588"/>
      <c r="B33" s="296"/>
      <c r="C33" s="289" t="s">
        <v>244</v>
      </c>
      <c r="D33" s="297"/>
      <c r="E33" s="297"/>
      <c r="F33" s="298">
        <f>IF('Gårdens info'!$D$26&gt;0,J263,0)</f>
        <v>351.90000000000003</v>
      </c>
      <c r="G33" s="151" t="s">
        <v>14</v>
      </c>
      <c r="H33" s="614">
        <f>IF('Gårdens info'!$G$26&gt;0,F33/'Gårdens info'!$G$26,0)</f>
        <v>6.0672413793103452E-2</v>
      </c>
      <c r="I33" s="151" t="s">
        <v>6</v>
      </c>
      <c r="J33" s="298">
        <f>F33*'Gårdens info'!$D$26</f>
        <v>1759.5000000000002</v>
      </c>
      <c r="K33" s="151" t="s">
        <v>531</v>
      </c>
      <c r="L33" s="297"/>
      <c r="M33" s="300"/>
      <c r="N33" s="77"/>
      <c r="O33" s="77"/>
      <c r="P33" s="77"/>
      <c r="Q33" s="77"/>
      <c r="R33" s="77"/>
      <c r="S33" s="77"/>
      <c r="T33" s="77"/>
      <c r="U33" s="77"/>
      <c r="Y33" s="886" t="s">
        <v>3</v>
      </c>
      <c r="Z33" s="603">
        <f t="shared" si="2"/>
        <v>673.24800000000005</v>
      </c>
    </row>
    <row r="34" spans="1:26" s="91" customFormat="1" ht="15" x14ac:dyDescent="0.25">
      <c r="A34" s="588"/>
      <c r="B34" s="296"/>
      <c r="C34" s="289" t="s">
        <v>245</v>
      </c>
      <c r="D34" s="297"/>
      <c r="E34" s="297"/>
      <c r="F34" s="298">
        <f>IF('Gårdens info'!D26&gt;0,J285,0)</f>
        <v>800</v>
      </c>
      <c r="G34" s="151" t="s">
        <v>14</v>
      </c>
      <c r="H34" s="614">
        <f>IF('Gårdens info'!$G$26&gt;0,F34/'Gårdens info'!$G$26,0)</f>
        <v>0.13793103448275862</v>
      </c>
      <c r="I34" s="151" t="s">
        <v>6</v>
      </c>
      <c r="J34" s="298">
        <f>F34*'Gårdens info'!$D$26</f>
        <v>4000</v>
      </c>
      <c r="K34" s="151" t="s">
        <v>531</v>
      </c>
      <c r="L34" s="297"/>
      <c r="M34" s="300"/>
      <c r="Y34" s="886" t="s">
        <v>388</v>
      </c>
      <c r="Z34" s="603">
        <f t="shared" si="2"/>
        <v>290</v>
      </c>
    </row>
    <row r="35" spans="1:26" s="91" customFormat="1" ht="15" x14ac:dyDescent="0.25">
      <c r="A35" s="588"/>
      <c r="B35" s="296"/>
      <c r="C35" s="289" t="s">
        <v>392</v>
      </c>
      <c r="D35" s="297"/>
      <c r="E35" s="297"/>
      <c r="F35" s="298">
        <f>IF('Gårdens info'!D26&gt;0,J278,0)</f>
        <v>0</v>
      </c>
      <c r="G35" s="151" t="s">
        <v>14</v>
      </c>
      <c r="H35" s="614">
        <f>IF('Gårdens info'!$G$26&gt;0,F35/'Gårdens info'!$G$26,0)</f>
        <v>0</v>
      </c>
      <c r="I35" s="151" t="s">
        <v>6</v>
      </c>
      <c r="J35" s="298">
        <f>F35*'Gårdens info'!$D$26</f>
        <v>0</v>
      </c>
      <c r="K35" s="151" t="s">
        <v>531</v>
      </c>
      <c r="L35" s="297"/>
      <c r="M35" s="300"/>
      <c r="Y35" s="887" t="s">
        <v>572</v>
      </c>
      <c r="Z35" s="603">
        <f>F50</f>
        <v>414.81481481481489</v>
      </c>
    </row>
    <row r="36" spans="1:26" s="91" customFormat="1" ht="15" x14ac:dyDescent="0.25">
      <c r="A36" s="588"/>
      <c r="B36" s="296"/>
      <c r="C36" s="289" t="s">
        <v>393</v>
      </c>
      <c r="D36" s="297"/>
      <c r="E36" s="297"/>
      <c r="F36" s="298">
        <f>IF('Gårdens info'!D26&gt;0,J298,0)</f>
        <v>0</v>
      </c>
      <c r="G36" s="151" t="s">
        <v>14</v>
      </c>
      <c r="H36" s="614">
        <f>IF('Gårdens info'!$G$26&gt;0,F36/'Gårdens info'!$G$26,0)</f>
        <v>0</v>
      </c>
      <c r="I36" s="151" t="s">
        <v>6</v>
      </c>
      <c r="J36" s="298">
        <f>F36*'Gårdens info'!$D$26</f>
        <v>0</v>
      </c>
      <c r="K36" s="151" t="s">
        <v>531</v>
      </c>
      <c r="L36" s="297"/>
      <c r="M36" s="300"/>
      <c r="Y36" s="887" t="s">
        <v>728</v>
      </c>
      <c r="Z36" s="604">
        <f>F51</f>
        <v>0</v>
      </c>
    </row>
    <row r="37" spans="1:26" s="91" customFormat="1" ht="15" x14ac:dyDescent="0.25">
      <c r="A37" s="588"/>
      <c r="B37" s="296"/>
      <c r="C37" s="289" t="s">
        <v>394</v>
      </c>
      <c r="D37" s="297"/>
      <c r="E37" s="297"/>
      <c r="F37" s="298">
        <f>IF('Gårdens info'!D26&gt;0,J306,0)</f>
        <v>14500</v>
      </c>
      <c r="G37" s="151" t="s">
        <v>14</v>
      </c>
      <c r="H37" s="614">
        <f>IF('Gårdens info'!$G$26&gt;0,F37/'Gårdens info'!$G$26,0)</f>
        <v>2.5</v>
      </c>
      <c r="I37" s="151" t="s">
        <v>6</v>
      </c>
      <c r="J37" s="298">
        <f>F37*'Gårdens info'!$D$26</f>
        <v>72500</v>
      </c>
      <c r="K37" s="151" t="s">
        <v>531</v>
      </c>
      <c r="L37" s="297"/>
      <c r="M37" s="300"/>
      <c r="Y37" s="887" t="s">
        <v>576</v>
      </c>
      <c r="Z37" s="605">
        <f>F60</f>
        <v>752.8888888888888</v>
      </c>
    </row>
    <row r="38" spans="1:26" s="91" customFormat="1" ht="15" x14ac:dyDescent="0.25">
      <c r="A38" s="588"/>
      <c r="B38" s="296"/>
      <c r="C38" s="289" t="s">
        <v>387</v>
      </c>
      <c r="D38" s="297"/>
      <c r="E38" s="297"/>
      <c r="F38" s="298">
        <f>IF('Gårdens info'!D26&gt;0,J314,0)</f>
        <v>2250</v>
      </c>
      <c r="G38" s="151" t="s">
        <v>14</v>
      </c>
      <c r="H38" s="614">
        <f>IF('Gårdens info'!$G$26&gt;0,F38/'Gårdens info'!$G$26,0)</f>
        <v>0.38793103448275862</v>
      </c>
      <c r="I38" s="151" t="s">
        <v>6</v>
      </c>
      <c r="J38" s="298">
        <f>F38*'Gårdens info'!$D$26</f>
        <v>11250</v>
      </c>
      <c r="K38" s="151" t="s">
        <v>531</v>
      </c>
      <c r="L38" s="297"/>
      <c r="M38" s="300"/>
      <c r="Y38" s="887" t="s">
        <v>577</v>
      </c>
      <c r="Z38" s="605">
        <f>F67</f>
        <v>357.6012345679012</v>
      </c>
    </row>
    <row r="39" spans="1:26" s="91" customFormat="1" ht="15" x14ac:dyDescent="0.25">
      <c r="A39" s="588"/>
      <c r="B39" s="296"/>
      <c r="C39" s="289" t="s">
        <v>249</v>
      </c>
      <c r="D39" s="297"/>
      <c r="E39" s="297"/>
      <c r="F39" s="298">
        <f>IF('Gårdens info'!D26&gt;0,J326,0)</f>
        <v>673.24800000000005</v>
      </c>
      <c r="G39" s="151" t="s">
        <v>14</v>
      </c>
      <c r="H39" s="614">
        <f>IF('Gårdens info'!$G$26&gt;0,F39/'Gårdens info'!$G$26,0)</f>
        <v>0.11607724137931036</v>
      </c>
      <c r="I39" s="151" t="s">
        <v>6</v>
      </c>
      <c r="J39" s="298">
        <f>F39*'Gårdens info'!$D$26</f>
        <v>3366.2400000000002</v>
      </c>
      <c r="K39" s="151" t="s">
        <v>531</v>
      </c>
      <c r="L39" s="297"/>
      <c r="M39" s="300"/>
      <c r="Y39" s="887" t="s">
        <v>578</v>
      </c>
      <c r="Z39" s="605">
        <f>F74</f>
        <v>90.454047619047614</v>
      </c>
    </row>
    <row r="40" spans="1:26" s="91" customFormat="1" ht="15" x14ac:dyDescent="0.25">
      <c r="A40" s="588"/>
      <c r="B40" s="296"/>
      <c r="C40" s="289" t="s">
        <v>388</v>
      </c>
      <c r="D40" s="297"/>
      <c r="E40" s="297"/>
      <c r="F40" s="298">
        <f>IF('Gårdens info'!D26&gt;0,L347,0)</f>
        <v>290</v>
      </c>
      <c r="G40" s="151" t="s">
        <v>14</v>
      </c>
      <c r="H40" s="614">
        <f>IF('Gårdens info'!$G$26&gt;0,F40/'Gårdens info'!$G$26,0)</f>
        <v>0.05</v>
      </c>
      <c r="I40" s="151" t="s">
        <v>6</v>
      </c>
      <c r="J40" s="298">
        <f>F40*'Gårdens info'!$D$26</f>
        <v>1450</v>
      </c>
      <c r="K40" s="151" t="s">
        <v>531</v>
      </c>
      <c r="L40" s="297"/>
      <c r="M40" s="300"/>
      <c r="Y40" s="887" t="s">
        <v>162</v>
      </c>
      <c r="Z40" s="605">
        <f>F80</f>
        <v>22.222222222222221</v>
      </c>
    </row>
    <row r="41" spans="1:26" s="236" customFormat="1" ht="15.6" x14ac:dyDescent="0.3">
      <c r="A41" s="589"/>
      <c r="B41" s="312"/>
      <c r="C41" s="301" t="s">
        <v>196</v>
      </c>
      <c r="D41" s="302"/>
      <c r="E41" s="302"/>
      <c r="F41" s="303">
        <f>SUM(F33:F40)</f>
        <v>18865.148000000001</v>
      </c>
      <c r="G41" s="304" t="s">
        <v>14</v>
      </c>
      <c r="H41" s="615">
        <f>SUM(H33:H40)</f>
        <v>3.2526117241379309</v>
      </c>
      <c r="I41" s="304" t="s">
        <v>6</v>
      </c>
      <c r="J41" s="303">
        <f>SUM(J33:J40)</f>
        <v>94325.74</v>
      </c>
      <c r="K41" s="304" t="s">
        <v>531</v>
      </c>
      <c r="L41" s="302"/>
      <c r="M41" s="313"/>
      <c r="N41" s="91"/>
      <c r="O41" s="91"/>
      <c r="P41" s="91"/>
      <c r="Q41" s="91"/>
      <c r="R41" s="91"/>
      <c r="S41" s="91"/>
      <c r="T41" s="91"/>
      <c r="U41" s="91"/>
      <c r="Y41" s="887" t="s">
        <v>727</v>
      </c>
      <c r="Z41" s="605">
        <f>F91</f>
        <v>1058.5</v>
      </c>
    </row>
    <row r="42" spans="1:26" ht="17.399999999999999" x14ac:dyDescent="0.3">
      <c r="B42" s="292"/>
      <c r="C42" s="306"/>
      <c r="D42" s="307"/>
      <c r="E42" s="307"/>
      <c r="F42" s="308"/>
      <c r="G42" s="151"/>
      <c r="H42" s="307"/>
      <c r="I42" s="307"/>
      <c r="J42" s="307"/>
      <c r="K42" s="307"/>
      <c r="L42" s="307"/>
      <c r="M42" s="287"/>
      <c r="N42" s="236"/>
      <c r="O42" s="236"/>
      <c r="P42" s="236"/>
      <c r="Q42" s="236"/>
      <c r="R42" s="236"/>
      <c r="S42" s="236"/>
      <c r="T42" s="236"/>
      <c r="U42" s="236"/>
      <c r="Y42" s="879"/>
      <c r="Z42" s="236"/>
    </row>
    <row r="43" spans="1:26" ht="17.399999999999999" x14ac:dyDescent="0.3">
      <c r="B43" s="314" t="s">
        <v>395</v>
      </c>
      <c r="C43" s="306"/>
      <c r="D43" s="307"/>
      <c r="E43" s="307"/>
      <c r="F43" s="307"/>
      <c r="G43" s="307"/>
      <c r="H43" s="307"/>
      <c r="I43" s="307"/>
      <c r="J43" s="307"/>
      <c r="K43" s="307"/>
      <c r="L43" s="307"/>
      <c r="M43" s="287"/>
    </row>
    <row r="44" spans="1:26" ht="17.399999999999999" x14ac:dyDescent="0.3">
      <c r="B44" s="292"/>
      <c r="C44" s="289" t="s">
        <v>245</v>
      </c>
      <c r="D44" s="297"/>
      <c r="E44" s="297"/>
      <c r="F44" s="298">
        <f>IF('Gårdens info'!D26&gt;0,J364/'Gårdens info'!I26,0)</f>
        <v>5.5439999999999996</v>
      </c>
      <c r="G44" s="151" t="s">
        <v>14</v>
      </c>
      <c r="H44" s="614">
        <f>IF('Gårdens info'!$G$26&gt;0,F44/'Gårdens info'!$G$26,0)</f>
        <v>9.5586206896551714E-4</v>
      </c>
      <c r="I44" s="151" t="s">
        <v>6</v>
      </c>
      <c r="J44" s="298">
        <f>F44*'Gårdens info'!$D$26</f>
        <v>27.72</v>
      </c>
      <c r="K44" s="151" t="s">
        <v>531</v>
      </c>
      <c r="L44" s="307"/>
      <c r="M44" s="287"/>
    </row>
    <row r="45" spans="1:26" s="91" customFormat="1" ht="15" x14ac:dyDescent="0.25">
      <c r="A45" s="588"/>
      <c r="B45" s="296"/>
      <c r="C45" s="289" t="s">
        <v>387</v>
      </c>
      <c r="D45" s="297"/>
      <c r="E45" s="297"/>
      <c r="F45" s="298">
        <f>IF('Gårdens info'!D26&gt;0,J372/'Gårdens info'!I26,0)</f>
        <v>12.4</v>
      </c>
      <c r="G45" s="151" t="s">
        <v>14</v>
      </c>
      <c r="H45" s="614">
        <f>IF('Gårdens info'!$G$26&gt;0,F45/'Gårdens info'!$G$26,0)</f>
        <v>2.1379310344827587E-3</v>
      </c>
      <c r="I45" s="151" t="s">
        <v>6</v>
      </c>
      <c r="J45" s="298">
        <f>F45*'Gårdens info'!$D$26</f>
        <v>62</v>
      </c>
      <c r="K45" s="151" t="s">
        <v>531</v>
      </c>
      <c r="L45" s="297"/>
      <c r="M45" s="300"/>
      <c r="N45"/>
      <c r="O45"/>
      <c r="P45"/>
      <c r="Q45"/>
      <c r="R45"/>
      <c r="S45"/>
      <c r="T45"/>
      <c r="U45"/>
      <c r="Y45"/>
      <c r="Z45"/>
    </row>
    <row r="46" spans="1:26" s="91" customFormat="1" ht="15" x14ac:dyDescent="0.25">
      <c r="A46" s="588"/>
      <c r="B46" s="296"/>
      <c r="C46" s="289" t="s">
        <v>249</v>
      </c>
      <c r="D46" s="297"/>
      <c r="E46" s="297"/>
      <c r="F46" s="298">
        <f>IF('Gårdens info'!D26&gt;0,J384/'Gårdens info'!I26,0)</f>
        <v>5.4160000000000004</v>
      </c>
      <c r="G46" s="151" t="s">
        <v>14</v>
      </c>
      <c r="H46" s="614">
        <f>IF('Gårdens info'!$G$26&gt;0,F46/'Gårdens info'!$G$26,0)</f>
        <v>9.3379310344827591E-4</v>
      </c>
      <c r="I46" s="151" t="s">
        <v>6</v>
      </c>
      <c r="J46" s="298">
        <f>F46*'Gårdens info'!$D$26</f>
        <v>27.080000000000002</v>
      </c>
      <c r="K46" s="151" t="s">
        <v>531</v>
      </c>
      <c r="L46" s="297"/>
      <c r="M46" s="300"/>
    </row>
    <row r="47" spans="1:26" s="91" customFormat="1" ht="15" x14ac:dyDescent="0.25">
      <c r="A47" s="588"/>
      <c r="B47" s="296"/>
      <c r="C47" s="289" t="s">
        <v>388</v>
      </c>
      <c r="D47" s="297"/>
      <c r="E47" s="297"/>
      <c r="F47" s="298">
        <f>IF('Gårdens info'!D26&gt;0,L397/'Gårdens info'!I26,0)</f>
        <v>0</v>
      </c>
      <c r="G47" s="151" t="s">
        <v>14</v>
      </c>
      <c r="H47" s="614">
        <f>IF('Gårdens info'!$G$26&gt;0,F47/'Gårdens info'!$G$26,0)</f>
        <v>0</v>
      </c>
      <c r="I47" s="151" t="s">
        <v>6</v>
      </c>
      <c r="J47" s="298">
        <f>F47*'Gårdens info'!$D$26</f>
        <v>0</v>
      </c>
      <c r="K47" s="151" t="s">
        <v>531</v>
      </c>
      <c r="L47" s="297"/>
      <c r="M47" s="300"/>
    </row>
    <row r="48" spans="1:26" s="8" customFormat="1" ht="15.6" x14ac:dyDescent="0.3">
      <c r="A48" s="586"/>
      <c r="B48" s="349"/>
      <c r="C48" s="324" t="s">
        <v>196</v>
      </c>
      <c r="D48" s="324"/>
      <c r="E48" s="324"/>
      <c r="F48" s="325">
        <f>SUM(F44:F47)</f>
        <v>23.36</v>
      </c>
      <c r="G48" s="304" t="s">
        <v>14</v>
      </c>
      <c r="H48" s="617">
        <f>SUM(H44:H47)</f>
        <v>4.0275862068965516E-3</v>
      </c>
      <c r="I48" s="304" t="s">
        <v>6</v>
      </c>
      <c r="J48" s="320">
        <f>SUM(J44:J47)</f>
        <v>116.8</v>
      </c>
      <c r="K48" s="304" t="s">
        <v>531</v>
      </c>
      <c r="L48" s="327"/>
      <c r="M48" s="321"/>
      <c r="N48" s="91"/>
      <c r="O48" s="91"/>
      <c r="P48" s="91"/>
      <c r="Q48" s="91"/>
      <c r="R48" s="91"/>
      <c r="S48" s="91"/>
      <c r="T48" s="91"/>
      <c r="U48" s="91"/>
      <c r="Y48" s="91"/>
      <c r="Z48" s="91"/>
    </row>
    <row r="49" spans="1:26" s="8" customFormat="1" ht="15.6" x14ac:dyDescent="0.3">
      <c r="A49" s="586"/>
      <c r="B49" s="349"/>
      <c r="C49" s="324"/>
      <c r="D49" s="324"/>
      <c r="E49" s="324"/>
      <c r="F49" s="325"/>
      <c r="G49" s="304"/>
      <c r="H49" s="326"/>
      <c r="I49" s="304"/>
      <c r="J49" s="320"/>
      <c r="K49" s="304"/>
      <c r="L49" s="327"/>
      <c r="M49" s="321"/>
    </row>
    <row r="50" spans="1:26" s="8" customFormat="1" ht="17.399999999999999" x14ac:dyDescent="0.3">
      <c r="A50" s="586"/>
      <c r="B50" s="947" t="s">
        <v>532</v>
      </c>
      <c r="C50" s="948"/>
      <c r="D50" s="948"/>
      <c r="E50" s="948"/>
      <c r="F50" s="325">
        <f>IF('Gårdens info'!D26&gt;0,J50/'Gårdens info'!D26,0)</f>
        <v>414.81481481481489</v>
      </c>
      <c r="G50" s="304" t="s">
        <v>14</v>
      </c>
      <c r="H50" s="617">
        <f>IF('Gårdens info'!G26&gt;0,F50/'Gårdens info'!G26,0)</f>
        <v>7.1519795657726704E-2</v>
      </c>
      <c r="I50" s="304" t="s">
        <v>6</v>
      </c>
      <c r="J50" s="320">
        <f>'Gårdens info'!G147/'Gårdens info'!D37*'Gårdens info'!D26</f>
        <v>2074.0740740740744</v>
      </c>
      <c r="K50" s="304" t="s">
        <v>531</v>
      </c>
      <c r="L50" s="327"/>
      <c r="M50" s="321"/>
    </row>
    <row r="51" spans="1:26" s="8" customFormat="1" ht="17.399999999999999" x14ac:dyDescent="0.3">
      <c r="A51" s="586"/>
      <c r="B51" s="949" t="s">
        <v>533</v>
      </c>
      <c r="C51" s="950"/>
      <c r="D51" s="950"/>
      <c r="E51" s="950"/>
      <c r="F51" s="325">
        <f>'Gårdens info'!$G$42*'Gårdens info'!$D$42/'Gårdens info'!$D$37*'Gårdens info'!D233</f>
        <v>0</v>
      </c>
      <c r="G51" s="304" t="s">
        <v>14</v>
      </c>
      <c r="H51" s="617">
        <f>IF('Gårdens info'!G26&gt;0,F51/'Gårdens info'!G26,0)</f>
        <v>0</v>
      </c>
      <c r="I51" s="304" t="s">
        <v>6</v>
      </c>
      <c r="J51" s="320">
        <f>F51*'Gårdens info'!D26</f>
        <v>0</v>
      </c>
      <c r="K51" s="304" t="s">
        <v>531</v>
      </c>
      <c r="L51" s="327"/>
      <c r="M51" s="321"/>
    </row>
    <row r="52" spans="1:26" s="8" customFormat="1" ht="21" x14ac:dyDescent="0.4">
      <c r="A52" s="586"/>
      <c r="B52" s="932" t="s">
        <v>226</v>
      </c>
      <c r="C52" s="933"/>
      <c r="D52" s="933"/>
      <c r="E52" s="324"/>
      <c r="F52" s="328">
        <f>F21+F41+F48+F50+F51</f>
        <v>20889.605614814816</v>
      </c>
      <c r="G52" s="329" t="s">
        <v>14</v>
      </c>
      <c r="H52" s="618">
        <f>H21+H41+H48+H50+H51</f>
        <v>3.6016561404853129</v>
      </c>
      <c r="I52" s="329" t="s">
        <v>6</v>
      </c>
      <c r="J52" s="331">
        <f>J21+J41+J48+J50+J51</f>
        <v>104448.02807407409</v>
      </c>
      <c r="K52" s="329" t="s">
        <v>531</v>
      </c>
      <c r="L52" s="329"/>
      <c r="M52" s="321"/>
    </row>
    <row r="53" spans="1:26" s="8" customFormat="1" ht="43.05" customHeight="1" x14ac:dyDescent="0.4">
      <c r="A53" s="586"/>
      <c r="B53" s="351"/>
      <c r="C53" s="332"/>
      <c r="D53" s="332"/>
      <c r="E53" s="324"/>
      <c r="F53" s="328"/>
      <c r="G53" s="329"/>
      <c r="H53" s="330"/>
      <c r="I53" s="329"/>
      <c r="J53" s="331"/>
      <c r="K53" s="329"/>
      <c r="L53" s="329"/>
      <c r="M53" s="321"/>
    </row>
    <row r="54" spans="1:26" ht="21" x14ac:dyDescent="0.4">
      <c r="B54" s="319" t="s">
        <v>534</v>
      </c>
      <c r="C54" s="286"/>
      <c r="D54" s="148"/>
      <c r="E54" s="148"/>
      <c r="F54" s="148"/>
      <c r="G54" s="148"/>
      <c r="H54" s="148"/>
      <c r="I54" s="148"/>
      <c r="J54" s="293"/>
      <c r="K54" s="148"/>
      <c r="L54" s="148"/>
      <c r="M54" s="287"/>
      <c r="N54" s="8"/>
      <c r="O54" s="8"/>
      <c r="P54" s="8"/>
      <c r="Q54" s="8"/>
      <c r="R54" s="8"/>
      <c r="S54" s="8"/>
      <c r="T54" s="8"/>
      <c r="U54" s="8"/>
      <c r="Y54" s="8"/>
      <c r="Z54" s="8"/>
    </row>
    <row r="55" spans="1:26" s="8" customFormat="1" ht="21" customHeight="1" x14ac:dyDescent="0.4">
      <c r="A55" s="586"/>
      <c r="B55" s="947" t="s">
        <v>149</v>
      </c>
      <c r="C55" s="948"/>
      <c r="D55" s="833"/>
      <c r="E55" s="324"/>
      <c r="F55" s="328"/>
      <c r="G55" s="329"/>
      <c r="H55" s="330"/>
      <c r="I55" s="329"/>
      <c r="J55" s="331"/>
      <c r="K55" s="329"/>
      <c r="L55" s="329"/>
      <c r="M55" s="321"/>
      <c r="N55"/>
      <c r="O55"/>
      <c r="P55"/>
      <c r="Q55"/>
      <c r="R55"/>
      <c r="S55"/>
      <c r="T55"/>
      <c r="U55"/>
      <c r="Y55"/>
      <c r="Z55"/>
    </row>
    <row r="56" spans="1:26" s="8" customFormat="1" ht="21" x14ac:dyDescent="0.4">
      <c r="A56" s="586"/>
      <c r="B56" s="350"/>
      <c r="C56" s="838" t="s">
        <v>264</v>
      </c>
      <c r="D56" s="833"/>
      <c r="E56" s="324"/>
      <c r="F56" s="338">
        <f>IF('Gårdens info'!$D$26&gt;0,J56/'Gårdens info'!$D$26,0)</f>
        <v>391.11111111111109</v>
      </c>
      <c r="G56" s="151" t="s">
        <v>14</v>
      </c>
      <c r="H56" s="613">
        <f>IF('Gårdens info'!$G$26&gt;0,F56/'Gårdens info'!$G$26,0)</f>
        <v>6.7432950191570876E-2</v>
      </c>
      <c r="I56" s="151" t="s">
        <v>6</v>
      </c>
      <c r="J56" s="298">
        <f>Ägendom!AV22</f>
        <v>1955.5555555555554</v>
      </c>
      <c r="K56" s="151" t="s">
        <v>531</v>
      </c>
      <c r="L56" s="329"/>
      <c r="M56" s="321"/>
    </row>
    <row r="57" spans="1:26" s="8" customFormat="1" ht="21" x14ac:dyDescent="0.4">
      <c r="A57" s="586"/>
      <c r="B57" s="350"/>
      <c r="C57" s="838" t="s">
        <v>265</v>
      </c>
      <c r="D57" s="833"/>
      <c r="E57" s="324"/>
      <c r="F57" s="338">
        <f>IF('Gårdens info'!$D$26&gt;0,J57/'Gårdens info'!$D$26,0)</f>
        <v>244.44444444444443</v>
      </c>
      <c r="G57" s="151" t="s">
        <v>14</v>
      </c>
      <c r="H57" s="613">
        <f>IF('Gårdens info'!$G$26&gt;0,F57/'Gårdens info'!$G$26,0)</f>
        <v>4.2145593869731796E-2</v>
      </c>
      <c r="I57" s="151" t="s">
        <v>6</v>
      </c>
      <c r="J57" s="298">
        <f>Ägendom!BR22</f>
        <v>1222.2222222222222</v>
      </c>
      <c r="K57" s="151" t="s">
        <v>531</v>
      </c>
      <c r="L57" s="329"/>
      <c r="M57" s="321"/>
    </row>
    <row r="58" spans="1:26" s="8" customFormat="1" ht="17.399999999999999" customHeight="1" x14ac:dyDescent="0.3">
      <c r="A58" s="586"/>
      <c r="B58" s="350"/>
      <c r="C58" s="941" t="s">
        <v>266</v>
      </c>
      <c r="D58" s="941"/>
      <c r="E58" s="324"/>
      <c r="F58" s="338">
        <f>IF('Gårdens info'!$D$26&gt;0,J58/'Gårdens info'!$D$26,0)</f>
        <v>97.777777777777771</v>
      </c>
      <c r="G58" s="151" t="s">
        <v>14</v>
      </c>
      <c r="H58" s="613">
        <f>IF('Gårdens info'!$G$26&gt;0,F58/'Gårdens info'!$G$26,0)</f>
        <v>1.6858237547892719E-2</v>
      </c>
      <c r="I58" s="151" t="s">
        <v>6</v>
      </c>
      <c r="J58" s="298">
        <f>Ägendom!CN22</f>
        <v>488.88888888888886</v>
      </c>
      <c r="K58" s="151" t="s">
        <v>531</v>
      </c>
      <c r="L58" s="329"/>
      <c r="M58" s="321"/>
    </row>
    <row r="59" spans="1:26" s="8" customFormat="1" ht="21" x14ac:dyDescent="0.4">
      <c r="A59" s="586"/>
      <c r="B59" s="350"/>
      <c r="C59" s="838" t="s">
        <v>399</v>
      </c>
      <c r="D59" s="833"/>
      <c r="E59" s="324"/>
      <c r="F59" s="338">
        <f>IF('Gårdens info'!$D$26&gt;0,J59/'Gårdens info'!$D$26,0)</f>
        <v>19.555555555555557</v>
      </c>
      <c r="G59" s="151" t="s">
        <v>14</v>
      </c>
      <c r="H59" s="613">
        <f>IF('Gårdens info'!$G$26&gt;0,F59/'Gårdens info'!$G$26,0)</f>
        <v>3.3716475095785445E-3</v>
      </c>
      <c r="I59" s="151" t="s">
        <v>6</v>
      </c>
      <c r="J59" s="298">
        <f>Ägendom!DJ22</f>
        <v>97.777777777777786</v>
      </c>
      <c r="K59" s="151" t="s">
        <v>531</v>
      </c>
      <c r="L59" s="329"/>
      <c r="M59" s="321"/>
    </row>
    <row r="60" spans="1:26" s="8" customFormat="1" ht="20.399999999999999" x14ac:dyDescent="0.35">
      <c r="A60" s="586"/>
      <c r="B60" s="352"/>
      <c r="C60" s="340" t="s">
        <v>196</v>
      </c>
      <c r="D60" s="341"/>
      <c r="E60" s="324"/>
      <c r="F60" s="342">
        <f>SUM(F56:F59)</f>
        <v>752.8888888888888</v>
      </c>
      <c r="G60" s="151" t="s">
        <v>14</v>
      </c>
      <c r="H60" s="620">
        <f t="shared" ref="H60:J60" si="3">SUM(H56:H59)</f>
        <v>0.12980842911877394</v>
      </c>
      <c r="I60" s="151" t="s">
        <v>6</v>
      </c>
      <c r="J60" s="342">
        <f t="shared" si="3"/>
        <v>3764.4444444444439</v>
      </c>
      <c r="K60" s="151" t="s">
        <v>531</v>
      </c>
      <c r="L60" s="343"/>
      <c r="M60" s="321"/>
    </row>
    <row r="61" spans="1:26" s="8" customFormat="1" ht="21" x14ac:dyDescent="0.4">
      <c r="A61" s="586"/>
      <c r="B61" s="350"/>
      <c r="C61" s="838"/>
      <c r="D61" s="833"/>
      <c r="E61" s="324"/>
      <c r="F61" s="338"/>
      <c r="G61" s="151"/>
      <c r="H61" s="339"/>
      <c r="I61" s="151"/>
      <c r="J61" s="298"/>
      <c r="K61" s="151"/>
      <c r="L61" s="329"/>
      <c r="M61" s="321"/>
    </row>
    <row r="62" spans="1:26" s="8" customFormat="1" ht="19.95" customHeight="1" x14ac:dyDescent="0.3">
      <c r="A62" s="586"/>
      <c r="B62" s="970" t="s">
        <v>400</v>
      </c>
      <c r="C62" s="971"/>
      <c r="D62" s="971"/>
      <c r="E62" s="324"/>
      <c r="F62" s="338"/>
      <c r="G62" s="151"/>
      <c r="H62" s="339"/>
      <c r="I62" s="151"/>
      <c r="J62" s="298"/>
      <c r="K62" s="151"/>
      <c r="L62" s="329"/>
      <c r="M62" s="321"/>
    </row>
    <row r="63" spans="1:26" s="8" customFormat="1" ht="21" x14ac:dyDescent="0.4">
      <c r="A63" s="586"/>
      <c r="B63" s="350"/>
      <c r="C63" s="838" t="s">
        <v>264</v>
      </c>
      <c r="D63" s="833"/>
      <c r="E63" s="324"/>
      <c r="F63" s="338">
        <f>IF('Gårdens info'!$D$26&gt;0,J63/'Gårdens info'!$D$26,0)</f>
        <v>150.86419753086417</v>
      </c>
      <c r="G63" s="151" t="s">
        <v>14</v>
      </c>
      <c r="H63" s="613">
        <f>IF('Gårdens info'!$G$26&gt;0,F63/'Gårdens info'!$G$26,0)</f>
        <v>2.6011068539804168E-2</v>
      </c>
      <c r="I63" s="151" t="s">
        <v>6</v>
      </c>
      <c r="J63" s="298">
        <f>Ägendom!AV51</f>
        <v>754.3209876543209</v>
      </c>
      <c r="K63" s="151" t="s">
        <v>531</v>
      </c>
      <c r="L63" s="329"/>
      <c r="M63" s="321"/>
    </row>
    <row r="64" spans="1:26" s="8" customFormat="1" ht="21" x14ac:dyDescent="0.4">
      <c r="A64" s="586"/>
      <c r="B64" s="350"/>
      <c r="C64" s="838" t="s">
        <v>265</v>
      </c>
      <c r="D64" s="833"/>
      <c r="E64" s="324"/>
      <c r="F64" s="338">
        <f>IF('Gårdens info'!$D$26&gt;0,J64/'Gårdens info'!$D$26,0)</f>
        <v>56.574074074074062</v>
      </c>
      <c r="G64" s="151" t="s">
        <v>14</v>
      </c>
      <c r="H64" s="613">
        <f>IF('Gårdens info'!$G$26&gt;0,F64/'Gårdens info'!$G$26,0)</f>
        <v>9.7541507024265627E-3</v>
      </c>
      <c r="I64" s="151" t="s">
        <v>6</v>
      </c>
      <c r="J64" s="298">
        <f>Ägendom!BR51</f>
        <v>282.87037037037032</v>
      </c>
      <c r="K64" s="151" t="s">
        <v>531</v>
      </c>
      <c r="L64" s="329"/>
      <c r="M64" s="321"/>
    </row>
    <row r="65" spans="1:26" s="8" customFormat="1" ht="17.399999999999999" customHeight="1" x14ac:dyDescent="0.3">
      <c r="A65" s="586"/>
      <c r="B65" s="350"/>
      <c r="C65" s="941" t="s">
        <v>266</v>
      </c>
      <c r="D65" s="941"/>
      <c r="E65" s="324"/>
      <c r="F65" s="338">
        <f>IF('Gårdens info'!$D$26&gt;0,J65/'Gårdens info'!$D$26,0)</f>
        <v>140.77777777777777</v>
      </c>
      <c r="G65" s="151" t="s">
        <v>14</v>
      </c>
      <c r="H65" s="613">
        <f>IF('Gårdens info'!$G$26&gt;0,F65/'Gårdens info'!$G$26,0)</f>
        <v>2.4272030651340995E-2</v>
      </c>
      <c r="I65" s="151" t="s">
        <v>6</v>
      </c>
      <c r="J65" s="298">
        <f>Ägendom!CN51</f>
        <v>703.88888888888891</v>
      </c>
      <c r="K65" s="151" t="s">
        <v>531</v>
      </c>
      <c r="L65" s="329"/>
      <c r="M65" s="321"/>
    </row>
    <row r="66" spans="1:26" s="8" customFormat="1" ht="21" x14ac:dyDescent="0.4">
      <c r="A66" s="586"/>
      <c r="B66" s="350"/>
      <c r="C66" s="838" t="s">
        <v>399</v>
      </c>
      <c r="D66" s="833"/>
      <c r="E66" s="324"/>
      <c r="F66" s="338">
        <f>IF('Gårdens info'!$D$26&gt;0,J66/'Gårdens info'!$D$26,0)</f>
        <v>9.3851851851851844</v>
      </c>
      <c r="G66" s="151" t="s">
        <v>14</v>
      </c>
      <c r="H66" s="613">
        <f>IF('Gårdens info'!$G$26&gt;0,F66/'Gårdens info'!$G$26,0)</f>
        <v>1.6181353767560664E-3</v>
      </c>
      <c r="I66" s="151" t="s">
        <v>6</v>
      </c>
      <c r="J66" s="298">
        <f>Ägendom!DJ51</f>
        <v>46.925925925925924</v>
      </c>
      <c r="K66" s="151" t="s">
        <v>531</v>
      </c>
      <c r="L66" s="329"/>
      <c r="M66" s="321"/>
    </row>
    <row r="67" spans="1:26" s="8" customFormat="1" ht="20.399999999999999" x14ac:dyDescent="0.35">
      <c r="A67" s="586"/>
      <c r="B67" s="352"/>
      <c r="C67" s="340" t="s">
        <v>196</v>
      </c>
      <c r="D67" s="341"/>
      <c r="E67" s="324"/>
      <c r="F67" s="342">
        <f>SUM(F63:F66)</f>
        <v>357.6012345679012</v>
      </c>
      <c r="G67" s="151" t="s">
        <v>14</v>
      </c>
      <c r="H67" s="620">
        <f t="shared" ref="H67:J67" si="4">SUM(H63:H66)</f>
        <v>6.1655385270327788E-2</v>
      </c>
      <c r="I67" s="151" t="s">
        <v>6</v>
      </c>
      <c r="J67" s="342">
        <f t="shared" si="4"/>
        <v>1788.006172839506</v>
      </c>
      <c r="K67" s="151" t="s">
        <v>531</v>
      </c>
      <c r="L67" s="343"/>
      <c r="M67" s="321"/>
    </row>
    <row r="68" spans="1:26" s="8" customFormat="1" ht="21" x14ac:dyDescent="0.4">
      <c r="A68" s="586"/>
      <c r="B68" s="350"/>
      <c r="C68" s="838"/>
      <c r="D68" s="833"/>
      <c r="E68" s="324"/>
      <c r="F68" s="338"/>
      <c r="G68" s="151"/>
      <c r="H68" s="339"/>
      <c r="I68" s="151"/>
      <c r="J68" s="298"/>
      <c r="K68" s="151"/>
      <c r="L68" s="329"/>
      <c r="M68" s="321"/>
    </row>
    <row r="69" spans="1:26" s="8" customFormat="1" ht="19.95" customHeight="1" x14ac:dyDescent="0.3">
      <c r="A69" s="586"/>
      <c r="B69" s="947" t="s">
        <v>151</v>
      </c>
      <c r="C69" s="948"/>
      <c r="D69" s="948"/>
      <c r="E69" s="324"/>
      <c r="F69" s="338"/>
      <c r="G69" s="151"/>
      <c r="H69" s="339"/>
      <c r="I69" s="151"/>
      <c r="J69" s="298"/>
      <c r="K69" s="151"/>
      <c r="L69" s="329"/>
      <c r="M69" s="321"/>
    </row>
    <row r="70" spans="1:26" s="8" customFormat="1" ht="21" x14ac:dyDescent="0.4">
      <c r="A70" s="586"/>
      <c r="B70" s="350"/>
      <c r="C70" s="838" t="s">
        <v>264</v>
      </c>
      <c r="D70" s="833"/>
      <c r="E70" s="324"/>
      <c r="F70" s="338">
        <f>IF('Gårdens info'!$D$26&gt;0,J70/'Gårdens info'!$D$26,0)</f>
        <v>48.452380952380949</v>
      </c>
      <c r="G70" s="151" t="s">
        <v>14</v>
      </c>
      <c r="H70" s="613">
        <f>IF('Gårdens info'!$G$26&gt;0,F70/'Gårdens info'!$G$26,0)</f>
        <v>8.3538587848932672E-3</v>
      </c>
      <c r="I70" s="151" t="s">
        <v>6</v>
      </c>
      <c r="J70" s="298">
        <f>Ägendom!AV76</f>
        <v>242.26190476190473</v>
      </c>
      <c r="K70" s="151" t="s">
        <v>531</v>
      </c>
      <c r="L70" s="329"/>
      <c r="M70" s="321"/>
    </row>
    <row r="71" spans="1:26" s="8" customFormat="1" ht="21" x14ac:dyDescent="0.4">
      <c r="A71" s="586"/>
      <c r="B71" s="350"/>
      <c r="C71" s="838" t="s">
        <v>265</v>
      </c>
      <c r="D71" s="833"/>
      <c r="E71" s="324"/>
      <c r="F71" s="338">
        <f>IF('Gårdens info'!$D$26&gt;0,J71/'Gårdens info'!$D$26,0)</f>
        <v>4.9702380952380949</v>
      </c>
      <c r="G71" s="151" t="s">
        <v>14</v>
      </c>
      <c r="H71" s="613">
        <f>IF('Gårdens info'!$G$26&gt;0,F71/'Gårdens info'!$G$26,0)</f>
        <v>8.5693760262725777E-4</v>
      </c>
      <c r="I71" s="151" t="s">
        <v>6</v>
      </c>
      <c r="J71" s="298">
        <f>Ägendom!BR76</f>
        <v>24.851190476190474</v>
      </c>
      <c r="K71" s="151" t="s">
        <v>531</v>
      </c>
      <c r="L71" s="329"/>
      <c r="M71" s="321"/>
    </row>
    <row r="72" spans="1:26" s="8" customFormat="1" ht="17.399999999999999" customHeight="1" x14ac:dyDescent="0.3">
      <c r="A72" s="586"/>
      <c r="B72" s="350"/>
      <c r="C72" s="941" t="s">
        <v>266</v>
      </c>
      <c r="D72" s="941"/>
      <c r="E72" s="324"/>
      <c r="F72" s="338">
        <f>IF('Gårdens info'!$D$26&gt;0,J72/'Gårdens info'!$D$26,0)</f>
        <v>35.607142857142861</v>
      </c>
      <c r="G72" s="151" t="s">
        <v>14</v>
      </c>
      <c r="H72" s="613">
        <f>IF('Gårdens info'!$G$26&gt;0,F72/'Gårdens info'!$G$26,0)</f>
        <v>6.139162561576355E-3</v>
      </c>
      <c r="I72" s="151" t="s">
        <v>6</v>
      </c>
      <c r="J72" s="298">
        <f>Ägendom!CN76</f>
        <v>178.03571428571431</v>
      </c>
      <c r="K72" s="151" t="s">
        <v>531</v>
      </c>
      <c r="L72" s="329"/>
      <c r="M72" s="321"/>
    </row>
    <row r="73" spans="1:26" s="8" customFormat="1" ht="21" x14ac:dyDescent="0.4">
      <c r="A73" s="586"/>
      <c r="B73" s="350"/>
      <c r="C73" s="838" t="s">
        <v>399</v>
      </c>
      <c r="D73" s="833"/>
      <c r="E73" s="324"/>
      <c r="F73" s="338">
        <f>IF('Gårdens info'!$D$26&gt;0,J73/'Gårdens info'!$D$26,0)</f>
        <v>1.4242857142857144</v>
      </c>
      <c r="G73" s="151" t="s">
        <v>14</v>
      </c>
      <c r="H73" s="613">
        <f>IF('Gårdens info'!$G$26&gt;0,F73/'Gårdens info'!$G$26,0)</f>
        <v>2.455665024630542E-4</v>
      </c>
      <c r="I73" s="151" t="s">
        <v>6</v>
      </c>
      <c r="J73" s="298">
        <f>Ägendom!DJ76</f>
        <v>7.1214285714285719</v>
      </c>
      <c r="K73" s="151" t="s">
        <v>531</v>
      </c>
      <c r="L73" s="329"/>
      <c r="M73" s="321"/>
    </row>
    <row r="74" spans="1:26" s="8" customFormat="1" ht="20.399999999999999" x14ac:dyDescent="0.35">
      <c r="A74" s="586"/>
      <c r="B74" s="352"/>
      <c r="C74" s="340" t="s">
        <v>196</v>
      </c>
      <c r="D74" s="341"/>
      <c r="E74" s="324"/>
      <c r="F74" s="342">
        <f>SUM(F70:F73)</f>
        <v>90.454047619047614</v>
      </c>
      <c r="G74" s="151" t="s">
        <v>14</v>
      </c>
      <c r="H74" s="620">
        <f t="shared" ref="H74:J74" si="5">SUM(H70:H73)</f>
        <v>1.5595525451559934E-2</v>
      </c>
      <c r="I74" s="151" t="s">
        <v>6</v>
      </c>
      <c r="J74" s="342">
        <f t="shared" si="5"/>
        <v>452.27023809523808</v>
      </c>
      <c r="K74" s="151" t="s">
        <v>531</v>
      </c>
      <c r="L74" s="343"/>
      <c r="M74" s="321"/>
    </row>
    <row r="75" spans="1:26" s="8" customFormat="1" ht="21" x14ac:dyDescent="0.4">
      <c r="A75" s="586"/>
      <c r="B75" s="350"/>
      <c r="C75" s="838"/>
      <c r="D75" s="833"/>
      <c r="E75" s="324"/>
      <c r="F75" s="338"/>
      <c r="G75" s="151"/>
      <c r="H75" s="339"/>
      <c r="I75" s="151"/>
      <c r="J75" s="298"/>
      <c r="K75" s="151"/>
      <c r="L75" s="329"/>
      <c r="M75" s="321"/>
    </row>
    <row r="76" spans="1:26" s="8" customFormat="1" ht="21" customHeight="1" x14ac:dyDescent="0.4">
      <c r="A76" s="586"/>
      <c r="B76" s="951" t="s">
        <v>160</v>
      </c>
      <c r="C76" s="952"/>
      <c r="D76" s="833"/>
      <c r="E76" s="324"/>
      <c r="F76" s="338"/>
      <c r="G76" s="151"/>
      <c r="H76" s="339"/>
      <c r="I76" s="151"/>
      <c r="J76" s="298"/>
      <c r="K76" s="151"/>
      <c r="L76" s="329"/>
      <c r="M76" s="321"/>
    </row>
    <row r="77" spans="1:26" s="8" customFormat="1" ht="21" x14ac:dyDescent="0.4">
      <c r="A77" s="586"/>
      <c r="B77" s="350"/>
      <c r="C77" s="838" t="s">
        <v>264</v>
      </c>
      <c r="D77" s="833"/>
      <c r="E77" s="324"/>
      <c r="F77" s="338">
        <f>IF('Gårdens info'!$D$26&gt;0,J77/'Gårdens info'!$D$26,0)</f>
        <v>0</v>
      </c>
      <c r="G77" s="151" t="s">
        <v>14</v>
      </c>
      <c r="H77" s="613">
        <f>IF('Gårdens info'!$G$26&gt;0,F77/'Gårdens info'!$G$26,0)</f>
        <v>0</v>
      </c>
      <c r="I77" s="151" t="s">
        <v>6</v>
      </c>
      <c r="J77" s="298">
        <f>Ägendom!AV79</f>
        <v>0</v>
      </c>
      <c r="K77" s="151" t="s">
        <v>531</v>
      </c>
      <c r="L77" s="329"/>
      <c r="M77" s="321"/>
    </row>
    <row r="78" spans="1:26" s="8" customFormat="1" ht="21" x14ac:dyDescent="0.4">
      <c r="A78" s="586"/>
      <c r="B78" s="350"/>
      <c r="C78" s="838" t="s">
        <v>265</v>
      </c>
      <c r="D78" s="833"/>
      <c r="E78" s="324"/>
      <c r="F78" s="338">
        <f>IF('Gårdens info'!$D$26&gt;0,J78/'Gårdens info'!$D$26,0)</f>
        <v>0</v>
      </c>
      <c r="G78" s="151" t="s">
        <v>14</v>
      </c>
      <c r="H78" s="613">
        <f>IF('Gårdens info'!$G$26&gt;0,F78/'Gårdens info'!$G$26,0)</f>
        <v>0</v>
      </c>
      <c r="I78" s="151" t="s">
        <v>6</v>
      </c>
      <c r="J78" s="298">
        <f>Ägendom!BR79</f>
        <v>0</v>
      </c>
      <c r="K78" s="151" t="s">
        <v>531</v>
      </c>
      <c r="L78" s="329"/>
      <c r="M78" s="321"/>
    </row>
    <row r="79" spans="1:26" s="8" customFormat="1" ht="17.399999999999999" customHeight="1" x14ac:dyDescent="0.3">
      <c r="A79" s="586"/>
      <c r="B79" s="350"/>
      <c r="C79" s="941" t="s">
        <v>266</v>
      </c>
      <c r="D79" s="941"/>
      <c r="E79" s="324"/>
      <c r="F79" s="338">
        <f>IF('Gårdens info'!$D$26&gt;0,J79/'Gårdens info'!$D$26,0)</f>
        <v>22.222222222222221</v>
      </c>
      <c r="G79" s="151" t="s">
        <v>14</v>
      </c>
      <c r="H79" s="613">
        <f>IF('Gårdens info'!$G$26&gt;0,F79/'Gårdens info'!$G$26,0)</f>
        <v>3.8314176245210726E-3</v>
      </c>
      <c r="I79" s="151" t="s">
        <v>6</v>
      </c>
      <c r="J79" s="298">
        <f>Ägendom!CN79</f>
        <v>111.1111111111111</v>
      </c>
      <c r="K79" s="151" t="s">
        <v>531</v>
      </c>
      <c r="L79" s="329"/>
      <c r="M79" s="321"/>
    </row>
    <row r="80" spans="1:26" s="239" customFormat="1" ht="15.6" x14ac:dyDescent="0.3">
      <c r="A80" s="590"/>
      <c r="B80" s="349"/>
      <c r="C80" s="323" t="s">
        <v>196</v>
      </c>
      <c r="D80" s="323"/>
      <c r="E80" s="323"/>
      <c r="F80" s="342">
        <f>SUM(F77:F79)</f>
        <v>22.222222222222221</v>
      </c>
      <c r="G80" s="151" t="s">
        <v>14</v>
      </c>
      <c r="H80" s="620">
        <f t="shared" ref="H80:J80" si="6">SUM(H77:H79)</f>
        <v>3.8314176245210726E-3</v>
      </c>
      <c r="I80" s="151" t="s">
        <v>6</v>
      </c>
      <c r="J80" s="342">
        <f t="shared" si="6"/>
        <v>111.1111111111111</v>
      </c>
      <c r="K80" s="151" t="s">
        <v>531</v>
      </c>
      <c r="L80" s="347"/>
      <c r="M80" s="353"/>
      <c r="N80" s="8"/>
      <c r="O80" s="8"/>
      <c r="P80" s="8"/>
      <c r="Q80" s="8"/>
      <c r="R80" s="8"/>
      <c r="S80" s="8"/>
      <c r="T80" s="8"/>
      <c r="U80" s="8"/>
      <c r="Y80" s="8"/>
      <c r="Z80" s="8"/>
    </row>
    <row r="81" spans="1:26" s="8" customFormat="1" ht="21" customHeight="1" x14ac:dyDescent="0.4">
      <c r="A81" s="586"/>
      <c r="B81" s="932" t="s">
        <v>229</v>
      </c>
      <c r="C81" s="933"/>
      <c r="D81" s="933"/>
      <c r="E81" s="324"/>
      <c r="F81" s="328">
        <f>F60+F67+F74+F80</f>
        <v>1223.1663932980598</v>
      </c>
      <c r="G81" s="329" t="s">
        <v>14</v>
      </c>
      <c r="H81" s="618">
        <f>H60+H67+H74+H80</f>
        <v>0.21089075746518274</v>
      </c>
      <c r="I81" s="329" t="s">
        <v>6</v>
      </c>
      <c r="J81" s="331">
        <f>J60+J67+J74+J80</f>
        <v>6115.8319664902992</v>
      </c>
      <c r="K81" s="329" t="s">
        <v>531</v>
      </c>
      <c r="L81" s="329"/>
      <c r="M81" s="321"/>
      <c r="N81" s="239"/>
      <c r="O81" s="239"/>
      <c r="P81" s="239"/>
      <c r="Q81" s="239"/>
      <c r="R81" s="239"/>
      <c r="S81" s="239"/>
      <c r="T81" s="239"/>
      <c r="U81" s="239"/>
      <c r="Y81" s="239"/>
      <c r="Z81" s="239"/>
    </row>
    <row r="82" spans="1:26" s="8" customFormat="1" ht="40.950000000000003" customHeight="1" x14ac:dyDescent="0.3">
      <c r="A82" s="586"/>
      <c r="B82" s="349"/>
      <c r="C82" s="324"/>
      <c r="D82" s="324"/>
      <c r="E82" s="324"/>
      <c r="F82" s="325"/>
      <c r="G82" s="304"/>
      <c r="H82" s="326"/>
      <c r="I82" s="304"/>
      <c r="J82" s="320"/>
      <c r="K82" s="304"/>
      <c r="L82" s="327"/>
      <c r="M82" s="321"/>
    </row>
    <row r="83" spans="1:26" s="8" customFormat="1" ht="21" x14ac:dyDescent="0.4">
      <c r="A83" s="586"/>
      <c r="B83" s="319" t="s">
        <v>535</v>
      </c>
      <c r="C83" s="324"/>
      <c r="D83" s="324"/>
      <c r="E83" s="324"/>
      <c r="F83" s="325"/>
      <c r="G83" s="304"/>
      <c r="H83" s="326"/>
      <c r="I83" s="304"/>
      <c r="J83" s="320"/>
      <c r="K83" s="304"/>
      <c r="L83" s="327"/>
      <c r="M83" s="321"/>
    </row>
    <row r="84" spans="1:26" s="77" customFormat="1" ht="17.399999999999999" x14ac:dyDescent="0.3">
      <c r="A84" s="587"/>
      <c r="B84" s="972" t="s">
        <v>383</v>
      </c>
      <c r="C84" s="973"/>
      <c r="D84" s="973"/>
      <c r="E84" s="153"/>
      <c r="F84" s="153"/>
      <c r="G84" s="153"/>
      <c r="H84" s="153"/>
      <c r="I84" s="153"/>
      <c r="J84" s="294"/>
      <c r="K84" s="153"/>
      <c r="L84" s="153"/>
      <c r="M84" s="295"/>
      <c r="N84" s="8"/>
      <c r="O84" s="8"/>
      <c r="P84" s="8"/>
      <c r="Q84" s="8"/>
      <c r="R84" s="8"/>
      <c r="S84" s="8"/>
      <c r="T84" s="8"/>
      <c r="U84" s="8"/>
      <c r="Y84" s="8"/>
      <c r="Z84" s="8"/>
    </row>
    <row r="85" spans="1:26" s="91" customFormat="1" ht="17.399999999999999" x14ac:dyDescent="0.3">
      <c r="A85" s="588"/>
      <c r="B85" s="296"/>
      <c r="C85" s="289" t="s">
        <v>44</v>
      </c>
      <c r="D85" s="297"/>
      <c r="E85" s="297"/>
      <c r="F85" s="298">
        <f>IF('Gårdens info'!D26&gt;0,H179/'Gårdens info'!I26,0)</f>
        <v>199.375</v>
      </c>
      <c r="G85" s="151" t="s">
        <v>14</v>
      </c>
      <c r="H85" s="614">
        <f>IF('Gårdens info'!G26&gt;0,F85/'Gårdens info'!$G$26,0)</f>
        <v>3.4375000000000003E-2</v>
      </c>
      <c r="I85" s="151" t="s">
        <v>6</v>
      </c>
      <c r="J85" s="298">
        <f>F85*'Gårdens info'!D26</f>
        <v>996.875</v>
      </c>
      <c r="K85" s="151" t="s">
        <v>531</v>
      </c>
      <c r="L85" s="297"/>
      <c r="M85" s="300"/>
      <c r="N85" s="77"/>
      <c r="O85" s="77"/>
      <c r="P85" s="77"/>
      <c r="Q85" s="77"/>
      <c r="R85" s="77"/>
      <c r="S85" s="77"/>
      <c r="T85" s="77"/>
      <c r="U85" s="77"/>
      <c r="Y85" s="77"/>
      <c r="Z85" s="77"/>
    </row>
    <row r="86" spans="1:26" s="8" customFormat="1" ht="15.6" x14ac:dyDescent="0.3">
      <c r="A86" s="586"/>
      <c r="B86" s="349"/>
      <c r="C86" s="324"/>
      <c r="D86" s="324"/>
      <c r="E86" s="324"/>
      <c r="F86" s="325"/>
      <c r="G86" s="304"/>
      <c r="H86" s="326"/>
      <c r="I86" s="304"/>
      <c r="J86" s="320"/>
      <c r="K86" s="304"/>
      <c r="L86" s="327"/>
      <c r="M86" s="321"/>
      <c r="N86" s="91"/>
      <c r="O86" s="91"/>
      <c r="P86" s="91"/>
      <c r="Q86" s="91"/>
      <c r="R86" s="91"/>
      <c r="S86" s="91"/>
      <c r="T86" s="91"/>
      <c r="U86" s="91"/>
      <c r="Y86" s="91"/>
      <c r="Z86" s="91"/>
    </row>
    <row r="87" spans="1:26" s="77" customFormat="1" ht="17.399999999999999" x14ac:dyDescent="0.3">
      <c r="A87" s="587"/>
      <c r="B87" s="972" t="s">
        <v>536</v>
      </c>
      <c r="C87" s="973"/>
      <c r="D87" s="973"/>
      <c r="E87" s="153"/>
      <c r="F87" s="153"/>
      <c r="G87" s="153"/>
      <c r="H87" s="153"/>
      <c r="I87" s="153"/>
      <c r="J87" s="294"/>
      <c r="K87" s="153"/>
      <c r="L87" s="153"/>
      <c r="M87" s="295"/>
      <c r="N87" s="8"/>
      <c r="O87" s="8"/>
      <c r="P87" s="8"/>
      <c r="Q87" s="8"/>
      <c r="R87" s="8"/>
      <c r="S87" s="8"/>
      <c r="T87" s="8"/>
      <c r="U87" s="8"/>
      <c r="Y87" s="8"/>
      <c r="Z87" s="8"/>
    </row>
    <row r="88" spans="1:26" s="91" customFormat="1" ht="17.399999999999999" x14ac:dyDescent="0.3">
      <c r="A88" s="588"/>
      <c r="B88" s="296"/>
      <c r="C88" s="289" t="s">
        <v>44</v>
      </c>
      <c r="D88" s="297"/>
      <c r="E88" s="297"/>
      <c r="F88" s="298">
        <f>IF('Gårdens info'!D26&gt;0,H253*'Gårdens info'!K26/'Gårdens info'!I26,0)</f>
        <v>168.2</v>
      </c>
      <c r="G88" s="151" t="s">
        <v>14</v>
      </c>
      <c r="H88" s="614">
        <f>IF('Gårdens info'!G26&gt;0,F88/'Gårdens info'!$G$26,0)</f>
        <v>2.8999999999999998E-2</v>
      </c>
      <c r="I88" s="151" t="s">
        <v>6</v>
      </c>
      <c r="J88" s="298">
        <f>F88*'Gårdens info'!D26</f>
        <v>841</v>
      </c>
      <c r="K88" s="151" t="s">
        <v>531</v>
      </c>
      <c r="L88" s="297"/>
      <c r="M88" s="300"/>
      <c r="N88" s="77"/>
      <c r="O88" s="77"/>
      <c r="P88" s="77"/>
      <c r="Q88" s="77"/>
      <c r="R88" s="77"/>
      <c r="S88" s="77"/>
      <c r="T88" s="77"/>
      <c r="U88" s="77"/>
      <c r="Y88" s="77"/>
      <c r="Z88" s="77"/>
    </row>
    <row r="89" spans="1:26" s="8" customFormat="1" ht="15.6" x14ac:dyDescent="0.3">
      <c r="A89" s="586"/>
      <c r="B89" s="349"/>
      <c r="C89" s="324"/>
      <c r="D89" s="324"/>
      <c r="E89" s="324"/>
      <c r="F89" s="325"/>
      <c r="G89" s="304"/>
      <c r="H89" s="326"/>
      <c r="I89" s="304"/>
      <c r="J89" s="320"/>
      <c r="K89" s="304"/>
      <c r="L89" s="327"/>
      <c r="M89" s="321"/>
      <c r="N89" s="91"/>
      <c r="O89" s="91"/>
      <c r="P89" s="91"/>
      <c r="Q89" s="91"/>
      <c r="R89" s="91"/>
      <c r="S89" s="91"/>
      <c r="T89" s="91"/>
      <c r="U89" s="91"/>
      <c r="Y89" s="91"/>
      <c r="Z89" s="91"/>
    </row>
    <row r="90" spans="1:26" s="77" customFormat="1" ht="17.399999999999999" x14ac:dyDescent="0.3">
      <c r="A90" s="587"/>
      <c r="B90" s="612" t="s">
        <v>270</v>
      </c>
      <c r="C90" s="306"/>
      <c r="D90" s="310"/>
      <c r="E90" s="310"/>
      <c r="F90" s="311"/>
      <c r="G90" s="153"/>
      <c r="H90" s="310"/>
      <c r="I90" s="310"/>
      <c r="J90" s="310"/>
      <c r="K90" s="310"/>
      <c r="L90" s="310"/>
      <c r="M90" s="295"/>
      <c r="N90" s="8"/>
      <c r="O90" s="8"/>
      <c r="P90" s="8"/>
      <c r="Q90" s="8"/>
      <c r="R90" s="8"/>
      <c r="S90" s="8"/>
      <c r="T90" s="8"/>
      <c r="U90" s="8"/>
      <c r="Y90" s="8"/>
      <c r="Z90" s="8"/>
    </row>
    <row r="91" spans="1:26" s="91" customFormat="1" ht="17.399999999999999" x14ac:dyDescent="0.3">
      <c r="A91" s="588"/>
      <c r="B91" s="296"/>
      <c r="C91" s="289" t="s">
        <v>44</v>
      </c>
      <c r="D91" s="297"/>
      <c r="E91" s="297"/>
      <c r="F91" s="298">
        <f>IF('Gårdens info'!D26&gt;0,H347,0)</f>
        <v>1058.5</v>
      </c>
      <c r="G91" s="151" t="s">
        <v>14</v>
      </c>
      <c r="H91" s="614">
        <f>IF('Gårdens info'!G26&gt;0,F91/'Gårdens info'!$G$26,0)</f>
        <v>0.1825</v>
      </c>
      <c r="I91" s="151" t="s">
        <v>6</v>
      </c>
      <c r="J91" s="298">
        <f>F91*'Gårdens info'!D26</f>
        <v>5292.5</v>
      </c>
      <c r="K91" s="151" t="s">
        <v>531</v>
      </c>
      <c r="L91" s="297"/>
      <c r="M91" s="300"/>
      <c r="N91" s="77"/>
      <c r="O91" s="77"/>
      <c r="P91" s="77"/>
      <c r="Q91" s="77"/>
      <c r="R91" s="77"/>
      <c r="S91" s="77"/>
      <c r="T91" s="77"/>
      <c r="U91" s="77"/>
      <c r="Y91" s="77"/>
      <c r="Z91" s="77"/>
    </row>
    <row r="92" spans="1:26" s="77" customFormat="1" ht="17.399999999999999" x14ac:dyDescent="0.3">
      <c r="A92" s="587"/>
      <c r="B92" s="309"/>
      <c r="C92" s="306"/>
      <c r="D92" s="310"/>
      <c r="E92" s="310"/>
      <c r="F92" s="311"/>
      <c r="G92" s="153"/>
      <c r="H92" s="310"/>
      <c r="I92" s="310"/>
      <c r="J92" s="310"/>
      <c r="K92" s="310"/>
      <c r="L92" s="310"/>
      <c r="M92" s="295"/>
      <c r="N92" s="91"/>
      <c r="O92" s="91"/>
      <c r="P92" s="91"/>
      <c r="Q92" s="91"/>
      <c r="R92" s="91"/>
      <c r="S92" s="91"/>
      <c r="T92" s="91"/>
      <c r="U92" s="91"/>
      <c r="Y92" s="91"/>
      <c r="Z92" s="91"/>
    </row>
    <row r="93" spans="1:26" ht="27" customHeight="1" x14ac:dyDescent="0.3">
      <c r="B93" s="612" t="s">
        <v>395</v>
      </c>
      <c r="C93" s="306"/>
      <c r="D93" s="307"/>
      <c r="E93" s="307"/>
      <c r="F93" s="307"/>
      <c r="G93" s="307"/>
      <c r="H93" s="307"/>
      <c r="I93" s="307"/>
      <c r="J93" s="307"/>
      <c r="K93" s="307"/>
      <c r="L93" s="307"/>
      <c r="M93" s="287"/>
      <c r="N93" s="77"/>
      <c r="O93" s="77"/>
      <c r="P93" s="77"/>
      <c r="Q93" s="77"/>
      <c r="R93" s="77"/>
      <c r="S93" s="77"/>
      <c r="T93" s="77"/>
      <c r="U93" s="77"/>
      <c r="Y93" s="77"/>
      <c r="Z93" s="77"/>
    </row>
    <row r="94" spans="1:26" s="91" customFormat="1" ht="15" x14ac:dyDescent="0.25">
      <c r="A94" s="588"/>
      <c r="B94" s="296"/>
      <c r="C94" s="289" t="s">
        <v>230</v>
      </c>
      <c r="D94" s="297"/>
      <c r="E94" s="297"/>
      <c r="F94" s="298">
        <f>IF('Gårdens info'!D26&gt;0,H397/'Gårdens info'!I26,0)</f>
        <v>2.9</v>
      </c>
      <c r="G94" s="151" t="s">
        <v>14</v>
      </c>
      <c r="H94" s="614">
        <f>IF('Gårdens info'!G26&gt;0,F94/'Gårdens info'!$G$26,0)</f>
        <v>5.0000000000000001E-4</v>
      </c>
      <c r="I94" s="151" t="s">
        <v>6</v>
      </c>
      <c r="J94" s="298">
        <f>F94*'Gårdens info'!D26</f>
        <v>14.5</v>
      </c>
      <c r="K94" s="151" t="s">
        <v>531</v>
      </c>
      <c r="L94" s="297"/>
      <c r="M94" s="300"/>
      <c r="N94"/>
      <c r="O94"/>
      <c r="P94"/>
      <c r="Q94"/>
      <c r="R94"/>
      <c r="S94"/>
      <c r="T94"/>
      <c r="U94"/>
      <c r="Y94"/>
      <c r="Z94"/>
    </row>
    <row r="95" spans="1:26" s="8" customFormat="1" ht="21" x14ac:dyDescent="0.4">
      <c r="A95" s="586"/>
      <c r="B95" s="932" t="s">
        <v>230</v>
      </c>
      <c r="C95" s="933"/>
      <c r="D95" s="933"/>
      <c r="E95" s="324"/>
      <c r="F95" s="328">
        <f>F85+F88+F91+F94</f>
        <v>1428.9750000000001</v>
      </c>
      <c r="G95" s="329" t="s">
        <v>14</v>
      </c>
      <c r="H95" s="618">
        <f>H85+H88+H91+H94</f>
        <v>0.24637500000000001</v>
      </c>
      <c r="I95" s="329" t="s">
        <v>6</v>
      </c>
      <c r="J95" s="331">
        <f>J85+J88+J91+J94</f>
        <v>7144.875</v>
      </c>
      <c r="K95" s="329" t="s">
        <v>531</v>
      </c>
      <c r="L95" s="329"/>
      <c r="M95" s="321"/>
      <c r="N95" s="91"/>
      <c r="O95" s="91"/>
      <c r="P95" s="91"/>
      <c r="Q95" s="91"/>
      <c r="R95" s="91"/>
      <c r="S95" s="91"/>
      <c r="T95" s="91"/>
      <c r="U95" s="91"/>
      <c r="Y95" s="91"/>
      <c r="Z95" s="91"/>
    </row>
    <row r="96" spans="1:26" s="8" customFormat="1" ht="21" x14ac:dyDescent="0.4">
      <c r="A96" s="586"/>
      <c r="B96" s="689"/>
      <c r="C96" s="690"/>
      <c r="D96" s="690"/>
      <c r="E96" s="324"/>
      <c r="F96" s="328"/>
      <c r="G96" s="329"/>
      <c r="H96" s="618"/>
      <c r="I96" s="329"/>
      <c r="J96" s="331"/>
      <c r="K96" s="329"/>
      <c r="L96" s="329"/>
      <c r="M96" s="321"/>
      <c r="Y96" s="91"/>
      <c r="Z96" s="91"/>
    </row>
    <row r="97" spans="1:26" s="8" customFormat="1" ht="21" x14ac:dyDescent="0.4">
      <c r="A97" s="586"/>
      <c r="B97" s="932" t="s">
        <v>268</v>
      </c>
      <c r="C97" s="933"/>
      <c r="D97" s="933"/>
      <c r="E97" s="324"/>
      <c r="F97" s="328">
        <f>F52+F81+F95</f>
        <v>23541.747008112874</v>
      </c>
      <c r="G97" s="329" t="s">
        <v>14</v>
      </c>
      <c r="H97" s="705">
        <f>H52+H81+H95</f>
        <v>4.058921897950496</v>
      </c>
      <c r="I97" s="329" t="s">
        <v>6</v>
      </c>
      <c r="J97" s="328">
        <f>J52+J81+J95</f>
        <v>117708.73504056438</v>
      </c>
      <c r="K97" s="329" t="s">
        <v>531</v>
      </c>
      <c r="L97" s="329"/>
      <c r="M97" s="321"/>
      <c r="Y97" s="91"/>
      <c r="Z97" s="91"/>
    </row>
    <row r="98" spans="1:26" s="8" customFormat="1" ht="21" x14ac:dyDescent="0.4">
      <c r="A98" s="586"/>
      <c r="B98" s="351"/>
      <c r="C98" s="332"/>
      <c r="D98" s="332"/>
      <c r="E98" s="324"/>
      <c r="F98" s="328"/>
      <c r="G98" s="329"/>
      <c r="H98" s="330"/>
      <c r="I98" s="329"/>
      <c r="J98" s="331"/>
      <c r="K98" s="329"/>
      <c r="L98" s="329"/>
      <c r="M98" s="321"/>
    </row>
    <row r="99" spans="1:26" s="8" customFormat="1" ht="21.6" thickBot="1" x14ac:dyDescent="0.45">
      <c r="A99" s="586"/>
      <c r="B99" s="936" t="s">
        <v>269</v>
      </c>
      <c r="C99" s="937"/>
      <c r="D99" s="937"/>
      <c r="E99" s="315"/>
      <c r="F99" s="355">
        <f>F11-F52-F81-F95</f>
        <v>-4691.7470081128768</v>
      </c>
      <c r="G99" s="356" t="s">
        <v>14</v>
      </c>
      <c r="H99" s="621">
        <f>H11-H52-H81-H95</f>
        <v>-0.80892189795049563</v>
      </c>
      <c r="I99" s="356" t="s">
        <v>6</v>
      </c>
      <c r="J99" s="355">
        <f>J11-J52-J81-J95</f>
        <v>-23458.735040564385</v>
      </c>
      <c r="K99" s="356" t="s">
        <v>531</v>
      </c>
      <c r="L99" s="356"/>
      <c r="M99" s="316"/>
    </row>
    <row r="100" spans="1:26" ht="57" customHeight="1" thickBot="1" x14ac:dyDescent="0.45">
      <c r="B100" s="546"/>
      <c r="C100" s="534"/>
      <c r="D100" s="534"/>
      <c r="E100" s="534"/>
      <c r="F100" s="534"/>
      <c r="G100" s="534"/>
      <c r="H100" s="534"/>
      <c r="I100" s="534"/>
      <c r="J100" s="534"/>
      <c r="K100" s="534"/>
      <c r="L100" s="534"/>
      <c r="M100" s="534"/>
      <c r="N100" s="8"/>
      <c r="O100" s="8"/>
      <c r="P100" s="8"/>
      <c r="Q100" s="8"/>
      <c r="R100" s="8"/>
      <c r="S100" s="8"/>
      <c r="T100" s="8"/>
      <c r="U100" s="8"/>
      <c r="Y100" s="8"/>
      <c r="Z100" s="8"/>
    </row>
    <row r="101" spans="1:26" ht="22.95" customHeight="1" thickBot="1" x14ac:dyDescent="0.45">
      <c r="B101" s="977" t="s">
        <v>383</v>
      </c>
      <c r="C101" s="978"/>
      <c r="D101" s="978"/>
      <c r="E101" s="979"/>
      <c r="F101" s="534"/>
      <c r="G101" s="534"/>
      <c r="H101" s="534"/>
      <c r="I101" s="534"/>
      <c r="J101" s="983" t="s">
        <v>271</v>
      </c>
      <c r="K101" s="983"/>
      <c r="L101" s="983"/>
      <c r="M101" s="534"/>
    </row>
    <row r="102" spans="1:26" ht="28.05" customHeight="1" x14ac:dyDescent="0.4">
      <c r="B102" s="538"/>
      <c r="C102" s="538"/>
      <c r="D102" s="538"/>
      <c r="E102" s="538"/>
      <c r="F102" s="534"/>
      <c r="G102" s="534"/>
      <c r="H102" s="534"/>
      <c r="I102" s="534"/>
      <c r="J102" s="534"/>
      <c r="K102" s="534"/>
      <c r="L102" s="534"/>
      <c r="M102" s="534"/>
    </row>
    <row r="103" spans="1:26" ht="15.6" x14ac:dyDescent="0.3">
      <c r="B103" s="113" t="s">
        <v>401</v>
      </c>
      <c r="C103" s="65"/>
      <c r="D103" s="65"/>
      <c r="E103" s="65"/>
      <c r="F103" s="959" t="s">
        <v>159</v>
      </c>
      <c r="G103" s="959"/>
      <c r="H103" s="959" t="s">
        <v>158</v>
      </c>
      <c r="I103" s="959"/>
      <c r="J103" s="959" t="s">
        <v>273</v>
      </c>
      <c r="K103" s="959"/>
      <c r="L103" s="143" t="s">
        <v>274</v>
      </c>
      <c r="M103" s="67"/>
    </row>
    <row r="104" spans="1:26" ht="13.8" thickBot="1" x14ac:dyDescent="0.3">
      <c r="B104" s="69"/>
      <c r="C104" s="65"/>
      <c r="D104" s="65"/>
      <c r="E104" s="65"/>
      <c r="F104" s="65"/>
      <c r="G104" s="65"/>
      <c r="H104" s="65"/>
      <c r="I104" s="65"/>
      <c r="J104" s="67"/>
      <c r="K104" s="67"/>
      <c r="L104" s="67"/>
      <c r="M104" s="67"/>
    </row>
    <row r="105" spans="1:26" ht="13.8" thickBot="1" x14ac:dyDescent="0.3">
      <c r="B105" s="65"/>
      <c r="C105" s="66" t="s">
        <v>537</v>
      </c>
      <c r="D105" s="67"/>
      <c r="E105" s="65"/>
      <c r="F105" s="118">
        <v>4100</v>
      </c>
      <c r="G105" s="65" t="s">
        <v>29</v>
      </c>
      <c r="H105" s="95">
        <v>2.5</v>
      </c>
      <c r="I105" s="70" t="s">
        <v>7</v>
      </c>
      <c r="J105" s="235">
        <f>F105*H105</f>
        <v>10250</v>
      </c>
      <c r="K105" s="65" t="s">
        <v>14</v>
      </c>
      <c r="L105" s="65" t="s">
        <v>500</v>
      </c>
      <c r="M105" s="67"/>
    </row>
    <row r="106" spans="1:26" ht="13.8" thickBot="1" x14ac:dyDescent="0.3">
      <c r="B106" s="65"/>
      <c r="C106" s="65" t="s">
        <v>538</v>
      </c>
      <c r="D106" s="66"/>
      <c r="E106" s="65"/>
      <c r="F106" s="118"/>
      <c r="G106" s="65" t="s">
        <v>29</v>
      </c>
      <c r="H106" s="95"/>
      <c r="I106" s="70" t="s">
        <v>7</v>
      </c>
      <c r="J106" s="235">
        <f t="shared" ref="J106:J109" si="7">F106*H106</f>
        <v>0</v>
      </c>
      <c r="K106" s="65" t="s">
        <v>14</v>
      </c>
      <c r="L106" s="67"/>
      <c r="M106" s="67"/>
    </row>
    <row r="107" spans="1:26" ht="13.8" thickBot="1" x14ac:dyDescent="0.3">
      <c r="B107" s="65"/>
      <c r="C107" s="65" t="s">
        <v>538</v>
      </c>
      <c r="D107" s="66"/>
      <c r="E107" s="65"/>
      <c r="F107" s="118"/>
      <c r="G107" s="65" t="s">
        <v>29</v>
      </c>
      <c r="H107" s="95"/>
      <c r="I107" s="70" t="s">
        <v>7</v>
      </c>
      <c r="J107" s="235">
        <f t="shared" si="7"/>
        <v>0</v>
      </c>
      <c r="K107" s="65" t="s">
        <v>14</v>
      </c>
      <c r="L107" s="67"/>
      <c r="M107" s="67"/>
    </row>
    <row r="108" spans="1:26" ht="13.8" thickBot="1" x14ac:dyDescent="0.3">
      <c r="B108" s="65"/>
      <c r="C108" s="65"/>
      <c r="D108" s="71"/>
      <c r="E108" s="65"/>
      <c r="F108" s="65"/>
      <c r="G108" s="65"/>
      <c r="H108" s="70"/>
      <c r="I108" s="70"/>
      <c r="J108" s="235"/>
      <c r="K108" s="65"/>
      <c r="L108" s="67"/>
      <c r="M108" s="67"/>
    </row>
    <row r="109" spans="1:26" ht="13.8" thickBot="1" x14ac:dyDescent="0.3">
      <c r="B109" s="65"/>
      <c r="C109" s="65" t="s">
        <v>539</v>
      </c>
      <c r="D109" s="71"/>
      <c r="E109" s="65"/>
      <c r="F109" s="118">
        <v>20</v>
      </c>
      <c r="G109" s="65" t="s">
        <v>1</v>
      </c>
      <c r="H109" s="99">
        <v>4</v>
      </c>
      <c r="I109" s="70" t="s">
        <v>6</v>
      </c>
      <c r="J109" s="235">
        <f t="shared" si="7"/>
        <v>80</v>
      </c>
      <c r="K109" s="65" t="s">
        <v>14</v>
      </c>
      <c r="L109" s="67"/>
      <c r="M109" s="67"/>
    </row>
    <row r="110" spans="1:26" ht="13.8" thickBot="1" x14ac:dyDescent="0.3">
      <c r="B110" s="65"/>
      <c r="C110" s="65" t="s">
        <v>405</v>
      </c>
      <c r="D110" s="71"/>
      <c r="E110" s="65"/>
      <c r="F110" s="118"/>
      <c r="G110" s="65" t="s">
        <v>1</v>
      </c>
      <c r="H110" s="99"/>
      <c r="I110" s="70" t="s">
        <v>6</v>
      </c>
      <c r="J110" s="235"/>
      <c r="K110" s="65" t="s">
        <v>14</v>
      </c>
      <c r="L110" s="67"/>
      <c r="M110" s="67"/>
    </row>
    <row r="111" spans="1:26" s="8" customFormat="1" x14ac:dyDescent="0.25">
      <c r="A111" s="586"/>
      <c r="B111" s="71"/>
      <c r="C111" s="71" t="s">
        <v>196</v>
      </c>
      <c r="D111" s="71"/>
      <c r="E111" s="71"/>
      <c r="F111" s="277"/>
      <c r="G111" s="71"/>
      <c r="H111" s="278"/>
      <c r="I111" s="279"/>
      <c r="J111" s="280">
        <f>SUM(J105:J110)</f>
        <v>10330</v>
      </c>
      <c r="K111" s="71" t="s">
        <v>14</v>
      </c>
      <c r="L111" s="71"/>
      <c r="M111" s="71"/>
      <c r="N111"/>
      <c r="O111"/>
      <c r="P111"/>
      <c r="Q111"/>
      <c r="R111"/>
      <c r="S111"/>
      <c r="T111"/>
      <c r="U111"/>
      <c r="Y111"/>
      <c r="Z111"/>
    </row>
    <row r="112" spans="1:26" x14ac:dyDescent="0.25">
      <c r="B112" s="65"/>
      <c r="C112" s="65"/>
      <c r="D112" s="71"/>
      <c r="E112" s="65"/>
      <c r="F112" s="68"/>
      <c r="G112" s="65"/>
      <c r="H112" s="70"/>
      <c r="I112" s="70"/>
      <c r="J112" s="67"/>
      <c r="K112" s="65"/>
      <c r="L112" s="67"/>
      <c r="M112" s="67"/>
      <c r="N112" s="8"/>
      <c r="O112" s="8"/>
      <c r="P112" s="8"/>
      <c r="Q112" s="8"/>
      <c r="R112" s="8"/>
      <c r="S112" s="8"/>
      <c r="T112" s="8"/>
      <c r="U112" s="8"/>
      <c r="Y112" s="8"/>
      <c r="Z112" s="8"/>
    </row>
    <row r="113" spans="1:26" ht="37.049999999999997" customHeight="1" x14ac:dyDescent="0.25">
      <c r="B113" s="535"/>
      <c r="C113" s="535"/>
      <c r="D113" s="536"/>
      <c r="E113" s="535"/>
      <c r="F113" s="535"/>
      <c r="G113" s="535"/>
      <c r="H113" s="537"/>
      <c r="I113" s="537"/>
      <c r="J113" s="534"/>
      <c r="K113" s="534"/>
      <c r="L113" s="534"/>
      <c r="M113" s="534"/>
    </row>
    <row r="114" spans="1:26" ht="15.6" x14ac:dyDescent="0.3">
      <c r="B114" s="120" t="s">
        <v>501</v>
      </c>
      <c r="C114" s="121"/>
      <c r="D114" s="121"/>
      <c r="E114" s="121"/>
      <c r="F114" s="960" t="s">
        <v>159</v>
      </c>
      <c r="G114" s="960"/>
      <c r="H114" s="960" t="s">
        <v>158</v>
      </c>
      <c r="I114" s="960"/>
      <c r="J114" s="960" t="s">
        <v>273</v>
      </c>
      <c r="K114" s="960"/>
      <c r="L114" s="123"/>
      <c r="M114" s="123"/>
    </row>
    <row r="115" spans="1:26" ht="13.8" thickBot="1" x14ac:dyDescent="0.3">
      <c r="B115" s="121"/>
      <c r="C115" s="121"/>
      <c r="D115" s="121"/>
      <c r="E115" s="121"/>
      <c r="F115" s="121"/>
      <c r="G115" s="121"/>
      <c r="H115" s="122"/>
      <c r="I115" s="122"/>
      <c r="J115" s="123"/>
      <c r="K115" s="123"/>
      <c r="L115" s="123"/>
      <c r="M115" s="123"/>
    </row>
    <row r="116" spans="1:26" ht="13.8" thickBot="1" x14ac:dyDescent="0.3">
      <c r="B116" s="121"/>
      <c r="C116" s="121" t="s">
        <v>276</v>
      </c>
      <c r="D116" s="123"/>
      <c r="E116" s="121"/>
      <c r="F116" s="118">
        <v>300</v>
      </c>
      <c r="G116" s="121" t="s">
        <v>21</v>
      </c>
      <c r="H116" s="99">
        <v>0.95</v>
      </c>
      <c r="I116" s="122" t="s">
        <v>6</v>
      </c>
      <c r="J116" s="234">
        <f>F116*H116</f>
        <v>285</v>
      </c>
      <c r="K116" s="121" t="s">
        <v>14</v>
      </c>
      <c r="L116" s="123"/>
      <c r="M116" s="123"/>
    </row>
    <row r="117" spans="1:26" ht="13.8" thickBot="1" x14ac:dyDescent="0.3">
      <c r="B117" s="121"/>
      <c r="C117" s="121" t="s">
        <v>409</v>
      </c>
      <c r="D117" s="123"/>
      <c r="E117" s="121"/>
      <c r="F117" s="118">
        <v>7000</v>
      </c>
      <c r="G117" s="121" t="s">
        <v>21</v>
      </c>
      <c r="H117" s="99">
        <v>0.46</v>
      </c>
      <c r="I117" s="122" t="s">
        <v>6</v>
      </c>
      <c r="J117" s="234">
        <f t="shared" ref="J117:J119" si="8">F117*H117</f>
        <v>3220</v>
      </c>
      <c r="K117" s="121" t="s">
        <v>14</v>
      </c>
      <c r="L117" s="123"/>
      <c r="M117" s="123"/>
    </row>
    <row r="118" spans="1:26" ht="13.8" thickBot="1" x14ac:dyDescent="0.3">
      <c r="B118" s="121"/>
      <c r="C118" s="121" t="s">
        <v>280</v>
      </c>
      <c r="D118" s="121"/>
      <c r="E118" s="121"/>
      <c r="F118" s="96"/>
      <c r="G118" s="121" t="s">
        <v>21</v>
      </c>
      <c r="H118" s="99"/>
      <c r="I118" s="122" t="s">
        <v>6</v>
      </c>
      <c r="J118" s="234">
        <f t="shared" si="8"/>
        <v>0</v>
      </c>
      <c r="K118" s="121" t="s">
        <v>14</v>
      </c>
      <c r="L118" s="123"/>
      <c r="M118" s="123"/>
    </row>
    <row r="119" spans="1:26" ht="13.8" thickBot="1" x14ac:dyDescent="0.3">
      <c r="B119" s="121"/>
      <c r="C119" s="121" t="s">
        <v>280</v>
      </c>
      <c r="D119" s="121"/>
      <c r="E119" s="121"/>
      <c r="F119" s="96"/>
      <c r="G119" s="121" t="s">
        <v>21</v>
      </c>
      <c r="H119" s="98"/>
      <c r="I119" s="122" t="s">
        <v>6</v>
      </c>
      <c r="J119" s="234">
        <f t="shared" si="8"/>
        <v>0</v>
      </c>
      <c r="K119" s="121" t="s">
        <v>14</v>
      </c>
      <c r="L119" s="123"/>
      <c r="M119" s="123"/>
    </row>
    <row r="120" spans="1:26" s="8" customFormat="1" x14ac:dyDescent="0.25">
      <c r="A120" s="586"/>
      <c r="B120" s="270"/>
      <c r="C120" s="270" t="s">
        <v>196</v>
      </c>
      <c r="D120" s="270"/>
      <c r="E120" s="270"/>
      <c r="F120" s="274"/>
      <c r="G120" s="270"/>
      <c r="H120" s="275"/>
      <c r="I120" s="271"/>
      <c r="J120" s="276">
        <f>SUM(J116:J119)</f>
        <v>3505</v>
      </c>
      <c r="K120" s="270" t="s">
        <v>14</v>
      </c>
      <c r="L120" s="270"/>
      <c r="M120" s="270"/>
      <c r="N120"/>
      <c r="O120"/>
      <c r="P120"/>
      <c r="Q120"/>
      <c r="R120"/>
      <c r="S120"/>
      <c r="T120"/>
      <c r="U120"/>
      <c r="Y120"/>
      <c r="Z120"/>
    </row>
    <row r="121" spans="1:26" x14ac:dyDescent="0.25">
      <c r="B121" s="121"/>
      <c r="C121" s="121"/>
      <c r="D121" s="121"/>
      <c r="E121" s="121"/>
      <c r="F121" s="121"/>
      <c r="G121" s="121"/>
      <c r="H121" s="122"/>
      <c r="I121" s="122"/>
      <c r="J121" s="123"/>
      <c r="K121" s="123"/>
      <c r="L121" s="123"/>
      <c r="M121" s="123"/>
      <c r="N121" s="8"/>
      <c r="O121" s="8"/>
      <c r="P121" s="8"/>
      <c r="Q121" s="8"/>
      <c r="R121" s="8"/>
      <c r="S121" s="8"/>
      <c r="T121" s="8"/>
      <c r="U121" s="8"/>
      <c r="Y121" s="8"/>
      <c r="Z121" s="8"/>
    </row>
    <row r="122" spans="1:26" ht="33" customHeight="1" x14ac:dyDescent="0.25">
      <c r="B122" s="535"/>
      <c r="C122" s="535"/>
      <c r="D122" s="535"/>
      <c r="E122" s="535"/>
      <c r="F122" s="535"/>
      <c r="G122" s="535"/>
      <c r="H122" s="537"/>
      <c r="I122" s="537"/>
      <c r="J122" s="534"/>
      <c r="K122" s="534"/>
      <c r="L122" s="534"/>
      <c r="M122" s="534"/>
    </row>
    <row r="123" spans="1:26" ht="15.6" x14ac:dyDescent="0.3">
      <c r="B123" s="109" t="s">
        <v>540</v>
      </c>
      <c r="C123" s="72"/>
      <c r="D123" s="72"/>
      <c r="E123" s="72"/>
      <c r="F123" s="957" t="s">
        <v>159</v>
      </c>
      <c r="G123" s="957"/>
      <c r="H123" s="958" t="s">
        <v>158</v>
      </c>
      <c r="I123" s="958"/>
      <c r="J123" s="957" t="s">
        <v>273</v>
      </c>
      <c r="K123" s="957"/>
      <c r="L123" s="79"/>
      <c r="M123" s="79"/>
    </row>
    <row r="124" spans="1:26" ht="15.6" x14ac:dyDescent="0.3">
      <c r="B124" s="109"/>
      <c r="C124" s="72"/>
      <c r="D124" s="462" t="s">
        <v>364</v>
      </c>
      <c r="E124" s="72"/>
      <c r="F124" s="128"/>
      <c r="G124" s="128"/>
      <c r="H124" s="127"/>
      <c r="I124" s="127"/>
      <c r="J124" s="128"/>
      <c r="K124" s="128"/>
      <c r="L124" s="79"/>
      <c r="M124" s="79"/>
    </row>
    <row r="125" spans="1:26" ht="13.8" thickBot="1" x14ac:dyDescent="0.3">
      <c r="B125" s="214" t="s">
        <v>357</v>
      </c>
      <c r="C125" s="72"/>
      <c r="D125" s="72"/>
      <c r="E125" s="72"/>
      <c r="F125" s="74"/>
      <c r="G125" s="74"/>
      <c r="H125" s="73"/>
      <c r="I125" s="73"/>
      <c r="J125" s="79"/>
      <c r="K125" s="79"/>
      <c r="L125" s="79"/>
      <c r="M125" s="79"/>
    </row>
    <row r="126" spans="1:26" ht="13.8" thickBot="1" x14ac:dyDescent="0.3">
      <c r="B126" s="72"/>
      <c r="C126" s="72" t="s">
        <v>413</v>
      </c>
      <c r="D126" s="79"/>
      <c r="E126" s="72"/>
      <c r="F126" s="119">
        <v>3.3</v>
      </c>
      <c r="G126" s="74" t="s">
        <v>20</v>
      </c>
      <c r="H126" s="99">
        <v>16.8</v>
      </c>
      <c r="I126" s="73" t="s">
        <v>5</v>
      </c>
      <c r="J126" s="79">
        <f>F126*H126</f>
        <v>55.44</v>
      </c>
      <c r="K126" s="72" t="s">
        <v>14</v>
      </c>
      <c r="L126" s="79"/>
      <c r="M126" s="79"/>
    </row>
    <row r="127" spans="1:26" ht="13.8" thickBot="1" x14ac:dyDescent="0.3">
      <c r="B127" s="72"/>
      <c r="C127" s="72" t="s">
        <v>326</v>
      </c>
      <c r="D127" s="72"/>
      <c r="E127" s="72"/>
      <c r="F127" s="119"/>
      <c r="G127" s="74" t="s">
        <v>20</v>
      </c>
      <c r="H127" s="99"/>
      <c r="I127" s="73" t="s">
        <v>5</v>
      </c>
      <c r="J127" s="79">
        <f t="shared" ref="J127:J133" si="9">F127*H127</f>
        <v>0</v>
      </c>
      <c r="K127" s="72" t="s">
        <v>14</v>
      </c>
      <c r="L127" s="79"/>
      <c r="M127" s="79"/>
    </row>
    <row r="128" spans="1:26" ht="13.8" thickBot="1" x14ac:dyDescent="0.3">
      <c r="B128" s="72"/>
      <c r="C128" s="72" t="s">
        <v>326</v>
      </c>
      <c r="D128" s="72"/>
      <c r="E128" s="72"/>
      <c r="F128" s="119"/>
      <c r="G128" s="74" t="s">
        <v>20</v>
      </c>
      <c r="H128" s="99"/>
      <c r="I128" s="73" t="s">
        <v>5</v>
      </c>
      <c r="J128" s="79">
        <f t="shared" si="9"/>
        <v>0</v>
      </c>
      <c r="K128" s="72" t="s">
        <v>14</v>
      </c>
      <c r="L128" s="79"/>
      <c r="M128" s="79"/>
    </row>
    <row r="129" spans="1:26" x14ac:dyDescent="0.25">
      <c r="B129" s="72"/>
      <c r="C129" s="72"/>
      <c r="D129" s="72"/>
      <c r="E129" s="72"/>
      <c r="F129" s="212"/>
      <c r="G129" s="74"/>
      <c r="H129" s="213"/>
      <c r="I129" s="73"/>
      <c r="J129" s="79"/>
      <c r="K129" s="72"/>
      <c r="L129" s="79"/>
      <c r="M129" s="79"/>
    </row>
    <row r="130" spans="1:26" ht="13.8" thickBot="1" x14ac:dyDescent="0.3">
      <c r="B130" s="214" t="s">
        <v>358</v>
      </c>
      <c r="C130" s="72"/>
      <c r="D130" s="72"/>
      <c r="E130" s="72"/>
      <c r="F130" s="212"/>
      <c r="G130" s="74"/>
      <c r="H130" s="213"/>
      <c r="I130" s="73"/>
      <c r="J130" s="79"/>
      <c r="K130" s="72"/>
      <c r="L130" s="79"/>
      <c r="M130" s="79"/>
    </row>
    <row r="131" spans="1:26" ht="13.8" thickBot="1" x14ac:dyDescent="0.3">
      <c r="B131" s="72"/>
      <c r="C131" s="72" t="s">
        <v>326</v>
      </c>
      <c r="D131" s="72"/>
      <c r="E131" s="72"/>
      <c r="F131" s="119"/>
      <c r="G131" s="74"/>
      <c r="H131" s="119"/>
      <c r="I131" s="73"/>
      <c r="J131" s="79">
        <f t="shared" si="9"/>
        <v>0</v>
      </c>
      <c r="K131" s="72" t="s">
        <v>14</v>
      </c>
      <c r="L131" s="79"/>
      <c r="M131" s="79"/>
    </row>
    <row r="132" spans="1:26" ht="13.8" thickBot="1" x14ac:dyDescent="0.3">
      <c r="B132" s="72"/>
      <c r="C132" s="72" t="s">
        <v>326</v>
      </c>
      <c r="D132" s="72"/>
      <c r="E132" s="72"/>
      <c r="F132" s="119"/>
      <c r="G132" s="74"/>
      <c r="H132" s="119"/>
      <c r="I132" s="73"/>
      <c r="J132" s="79">
        <f t="shared" si="9"/>
        <v>0</v>
      </c>
      <c r="K132" s="72" t="s">
        <v>14</v>
      </c>
      <c r="L132" s="79"/>
      <c r="M132" s="79"/>
    </row>
    <row r="133" spans="1:26" ht="13.8" thickBot="1" x14ac:dyDescent="0.3">
      <c r="B133" s="72"/>
      <c r="C133" s="72" t="s">
        <v>326</v>
      </c>
      <c r="D133" s="72"/>
      <c r="E133" s="72"/>
      <c r="F133" s="119"/>
      <c r="G133" s="74"/>
      <c r="H133" s="119"/>
      <c r="I133" s="73"/>
      <c r="J133" s="79">
        <f t="shared" si="9"/>
        <v>0</v>
      </c>
      <c r="K133" s="72" t="s">
        <v>14</v>
      </c>
      <c r="L133" s="79"/>
      <c r="M133" s="79"/>
    </row>
    <row r="134" spans="1:26" s="8" customFormat="1" x14ac:dyDescent="0.25">
      <c r="A134" s="586"/>
      <c r="B134" s="241"/>
      <c r="C134" s="241" t="s">
        <v>196</v>
      </c>
      <c r="D134" s="241"/>
      <c r="E134" s="241"/>
      <c r="F134" s="273"/>
      <c r="G134" s="242"/>
      <c r="H134" s="273"/>
      <c r="I134" s="243"/>
      <c r="J134" s="241">
        <f>SUM(J126:J133)</f>
        <v>55.44</v>
      </c>
      <c r="K134" s="241" t="s">
        <v>14</v>
      </c>
      <c r="L134" s="241"/>
      <c r="M134" s="241"/>
      <c r="N134"/>
      <c r="O134"/>
      <c r="P134"/>
      <c r="Q134"/>
      <c r="R134"/>
      <c r="S134"/>
      <c r="T134"/>
      <c r="U134"/>
      <c r="Y134"/>
      <c r="Z134"/>
    </row>
    <row r="135" spans="1:26" x14ac:dyDescent="0.25">
      <c r="B135" s="72"/>
      <c r="C135" s="72"/>
      <c r="D135" s="72"/>
      <c r="E135" s="72"/>
      <c r="F135" s="74"/>
      <c r="G135" s="74"/>
      <c r="H135" s="73"/>
      <c r="I135" s="73"/>
      <c r="J135" s="79"/>
      <c r="K135" s="72"/>
      <c r="L135" s="79"/>
      <c r="M135" s="79"/>
      <c r="N135" s="8"/>
      <c r="O135" s="8"/>
      <c r="P135" s="8"/>
      <c r="Q135" s="8"/>
      <c r="R135" s="8"/>
      <c r="S135" s="8"/>
      <c r="T135" s="8"/>
      <c r="U135" s="8"/>
      <c r="Y135" s="8"/>
      <c r="Z135" s="8"/>
    </row>
    <row r="136" spans="1:26" s="5" customFormat="1" ht="30" customHeight="1" x14ac:dyDescent="0.25">
      <c r="A136" s="585"/>
      <c r="B136" s="535"/>
      <c r="C136" s="535"/>
      <c r="D136" s="535"/>
      <c r="E136" s="535"/>
      <c r="F136" s="539"/>
      <c r="G136" s="539"/>
      <c r="H136" s="537"/>
      <c r="I136" s="537"/>
      <c r="J136" s="534"/>
      <c r="K136" s="535"/>
      <c r="L136" s="534"/>
      <c r="M136" s="534"/>
      <c r="N136"/>
      <c r="O136"/>
      <c r="P136"/>
      <c r="Q136"/>
      <c r="R136"/>
      <c r="S136"/>
      <c r="T136"/>
      <c r="U136"/>
      <c r="Y136"/>
      <c r="Z136"/>
    </row>
    <row r="137" spans="1:26" ht="15.6" x14ac:dyDescent="0.3">
      <c r="B137" s="219" t="s">
        <v>414</v>
      </c>
      <c r="C137" s="220"/>
      <c r="D137" s="220"/>
      <c r="E137" s="220"/>
      <c r="F137" s="964" t="s">
        <v>159</v>
      </c>
      <c r="G137" s="964"/>
      <c r="H137" s="964" t="s">
        <v>158</v>
      </c>
      <c r="I137" s="964"/>
      <c r="J137" s="964" t="s">
        <v>273</v>
      </c>
      <c r="K137" s="964"/>
      <c r="L137" s="222"/>
      <c r="M137" s="222"/>
      <c r="N137" s="5"/>
      <c r="O137" s="5"/>
      <c r="P137" s="5"/>
      <c r="Q137" s="5"/>
      <c r="R137" s="5"/>
      <c r="S137" s="5"/>
      <c r="T137" s="5"/>
      <c r="U137" s="5"/>
      <c r="Y137" s="5"/>
      <c r="Z137" s="5"/>
    </row>
    <row r="138" spans="1:26" ht="13.8" thickBot="1" x14ac:dyDescent="0.3">
      <c r="B138" s="220"/>
      <c r="C138" s="220"/>
      <c r="D138" s="220"/>
      <c r="E138" s="220"/>
      <c r="F138" s="220"/>
      <c r="G138" s="220"/>
      <c r="H138" s="221"/>
      <c r="I138" s="221"/>
      <c r="J138" s="222"/>
      <c r="K138" s="222"/>
      <c r="L138" s="222"/>
      <c r="M138" s="222"/>
    </row>
    <row r="139" spans="1:26" ht="13.8" thickBot="1" x14ac:dyDescent="0.3">
      <c r="B139" s="220"/>
      <c r="C139" s="220" t="s">
        <v>294</v>
      </c>
      <c r="D139" s="222"/>
      <c r="E139" s="220"/>
      <c r="F139" s="96"/>
      <c r="G139" s="220" t="s">
        <v>0</v>
      </c>
      <c r="H139" s="99"/>
      <c r="I139" s="221" t="s">
        <v>14</v>
      </c>
      <c r="J139" s="223">
        <f t="shared" ref="J139:J141" si="10">F139*H139</f>
        <v>0</v>
      </c>
      <c r="K139" s="220" t="s">
        <v>14</v>
      </c>
      <c r="L139" s="222"/>
      <c r="M139" s="222"/>
    </row>
    <row r="140" spans="1:26" ht="13.8" thickBot="1" x14ac:dyDescent="0.3">
      <c r="B140" s="220"/>
      <c r="C140" s="220" t="s">
        <v>294</v>
      </c>
      <c r="D140" s="220"/>
      <c r="E140" s="220"/>
      <c r="F140" s="96"/>
      <c r="G140" s="220" t="s">
        <v>0</v>
      </c>
      <c r="H140" s="99"/>
      <c r="I140" s="221" t="s">
        <v>14</v>
      </c>
      <c r="J140" s="223">
        <f t="shared" si="10"/>
        <v>0</v>
      </c>
      <c r="K140" s="220" t="s">
        <v>14</v>
      </c>
      <c r="L140" s="222"/>
      <c r="M140" s="222"/>
    </row>
    <row r="141" spans="1:26" ht="13.8" thickBot="1" x14ac:dyDescent="0.3">
      <c r="B141" s="220"/>
      <c r="C141" s="220" t="s">
        <v>294</v>
      </c>
      <c r="D141" s="220"/>
      <c r="E141" s="220"/>
      <c r="F141" s="96"/>
      <c r="G141" s="220" t="s">
        <v>0</v>
      </c>
      <c r="H141" s="99"/>
      <c r="I141" s="221" t="s">
        <v>14</v>
      </c>
      <c r="J141" s="223">
        <f t="shared" si="10"/>
        <v>0</v>
      </c>
      <c r="K141" s="220" t="s">
        <v>14</v>
      </c>
      <c r="L141" s="222"/>
      <c r="M141" s="222"/>
    </row>
    <row r="142" spans="1:26" s="8" customFormat="1" x14ac:dyDescent="0.25">
      <c r="A142" s="586"/>
      <c r="B142" s="255"/>
      <c r="C142" s="255" t="s">
        <v>196</v>
      </c>
      <c r="D142" s="255"/>
      <c r="E142" s="255"/>
      <c r="F142" s="256"/>
      <c r="G142" s="255"/>
      <c r="H142" s="257"/>
      <c r="I142" s="258"/>
      <c r="J142" s="259">
        <f>SUM(J139:J141)</f>
        <v>0</v>
      </c>
      <c r="K142" s="255" t="s">
        <v>14</v>
      </c>
      <c r="L142" s="255"/>
      <c r="M142" s="255"/>
      <c r="N142"/>
      <c r="O142"/>
      <c r="P142"/>
      <c r="Q142"/>
      <c r="R142"/>
      <c r="S142"/>
      <c r="T142"/>
      <c r="U142"/>
      <c r="Y142"/>
      <c r="Z142"/>
    </row>
    <row r="143" spans="1:26" x14ac:dyDescent="0.25">
      <c r="B143" s="220"/>
      <c r="C143" s="220"/>
      <c r="D143" s="220"/>
      <c r="E143" s="220"/>
      <c r="F143" s="220"/>
      <c r="G143" s="220"/>
      <c r="H143" s="221"/>
      <c r="I143" s="221"/>
      <c r="J143" s="223"/>
      <c r="K143" s="220"/>
      <c r="L143" s="222"/>
      <c r="M143" s="222"/>
      <c r="N143" s="8"/>
      <c r="O143" s="8"/>
      <c r="P143" s="8"/>
      <c r="Q143" s="8"/>
      <c r="R143" s="8"/>
      <c r="S143" s="8"/>
      <c r="T143" s="8"/>
      <c r="U143" s="8"/>
      <c r="Y143" s="8"/>
      <c r="Z143" s="8"/>
    </row>
    <row r="144" spans="1:26" ht="33" customHeight="1" x14ac:dyDescent="0.25">
      <c r="B144" s="534"/>
      <c r="C144" s="534"/>
      <c r="D144" s="534"/>
      <c r="E144" s="534"/>
      <c r="F144" s="534"/>
      <c r="G144" s="534"/>
      <c r="H144" s="534"/>
      <c r="I144" s="534"/>
      <c r="J144" s="534"/>
      <c r="K144" s="534"/>
      <c r="L144" s="534"/>
      <c r="M144" s="534"/>
    </row>
    <row r="145" spans="1:26" ht="15.6" x14ac:dyDescent="0.3">
      <c r="B145" s="225" t="s">
        <v>45</v>
      </c>
      <c r="C145" s="226"/>
      <c r="D145" s="226"/>
      <c r="E145" s="227"/>
      <c r="F145" s="226" t="s">
        <v>159</v>
      </c>
      <c r="G145" s="228"/>
      <c r="H145" s="228" t="s">
        <v>158</v>
      </c>
      <c r="I145" s="226"/>
      <c r="J145" s="226"/>
      <c r="K145" s="229"/>
      <c r="L145" s="229"/>
      <c r="M145" s="229"/>
    </row>
    <row r="146" spans="1:26" ht="16.2" thickBot="1" x14ac:dyDescent="0.35">
      <c r="B146" s="225"/>
      <c r="C146" s="226"/>
      <c r="D146" s="226"/>
      <c r="E146" s="227"/>
      <c r="F146" s="226"/>
      <c r="G146" s="228"/>
      <c r="H146" s="228"/>
      <c r="I146" s="226"/>
      <c r="J146" s="226"/>
      <c r="K146" s="229"/>
      <c r="L146" s="229"/>
      <c r="M146" s="229"/>
    </row>
    <row r="147" spans="1:26" ht="13.8" thickBot="1" x14ac:dyDescent="0.3">
      <c r="B147" s="226"/>
      <c r="C147" s="226" t="s">
        <v>296</v>
      </c>
      <c r="D147" s="229"/>
      <c r="E147" s="230"/>
      <c r="F147" s="96"/>
      <c r="G147" s="231" t="s">
        <v>18</v>
      </c>
      <c r="H147" s="96"/>
      <c r="I147" s="232" t="s">
        <v>10</v>
      </c>
      <c r="J147" s="229">
        <f>H147*F147</f>
        <v>0</v>
      </c>
      <c r="K147" s="232" t="s">
        <v>14</v>
      </c>
      <c r="L147" s="229"/>
      <c r="M147" s="229"/>
    </row>
    <row r="148" spans="1:26" ht="13.8" thickBot="1" x14ac:dyDescent="0.3">
      <c r="B148" s="226"/>
      <c r="C148" s="226" t="s">
        <v>297</v>
      </c>
      <c r="D148" s="232">
        <f>F179/2</f>
        <v>68.75</v>
      </c>
      <c r="E148" s="226" t="s">
        <v>9</v>
      </c>
      <c r="F148" s="96">
        <f>+D148*8</f>
        <v>550</v>
      </c>
      <c r="G148" s="228" t="s">
        <v>20</v>
      </c>
      <c r="H148" s="96">
        <v>0.83</v>
      </c>
      <c r="I148" s="232" t="s">
        <v>5</v>
      </c>
      <c r="J148" s="229">
        <f>H148*F148</f>
        <v>456.5</v>
      </c>
      <c r="K148" s="232" t="s">
        <v>14</v>
      </c>
      <c r="L148" s="229"/>
      <c r="M148" s="229"/>
    </row>
    <row r="149" spans="1:26" ht="13.8" thickBot="1" x14ac:dyDescent="0.3">
      <c r="B149" s="226"/>
      <c r="C149" s="226" t="s">
        <v>298</v>
      </c>
      <c r="D149" s="232">
        <f>D148</f>
        <v>68.75</v>
      </c>
      <c r="E149" s="226" t="s">
        <v>9</v>
      </c>
      <c r="F149" s="96">
        <v>11.88</v>
      </c>
      <c r="G149" s="228" t="s">
        <v>21</v>
      </c>
      <c r="H149" s="96">
        <v>4</v>
      </c>
      <c r="I149" s="232" t="s">
        <v>6</v>
      </c>
      <c r="J149" s="229">
        <f t="shared" ref="J149:J153" si="11">H149*F149</f>
        <v>47.52</v>
      </c>
      <c r="K149" s="232" t="s">
        <v>14</v>
      </c>
      <c r="L149" s="229"/>
      <c r="M149" s="229"/>
    </row>
    <row r="150" spans="1:26" ht="13.8" thickBot="1" x14ac:dyDescent="0.3">
      <c r="B150" s="226"/>
      <c r="C150" s="226" t="s">
        <v>19</v>
      </c>
      <c r="D150" s="229"/>
      <c r="E150" s="232"/>
      <c r="F150" s="96">
        <v>200</v>
      </c>
      <c r="G150" s="228" t="s">
        <v>20</v>
      </c>
      <c r="H150" s="96">
        <v>1.53</v>
      </c>
      <c r="I150" s="232" t="s">
        <v>5</v>
      </c>
      <c r="J150" s="229">
        <f t="shared" si="11"/>
        <v>306</v>
      </c>
      <c r="K150" s="232" t="s">
        <v>14</v>
      </c>
      <c r="L150" s="229"/>
      <c r="M150" s="229"/>
    </row>
    <row r="151" spans="1:26" ht="13.8" thickBot="1" x14ac:dyDescent="0.3">
      <c r="B151" s="226"/>
      <c r="C151" s="226" t="s">
        <v>299</v>
      </c>
      <c r="D151" s="229"/>
      <c r="E151" s="232"/>
      <c r="F151" s="96">
        <v>1.48</v>
      </c>
      <c r="G151" s="228" t="s">
        <v>20</v>
      </c>
      <c r="H151" s="96">
        <v>1.6</v>
      </c>
      <c r="I151" s="232" t="s">
        <v>5</v>
      </c>
      <c r="J151" s="229">
        <f t="shared" si="11"/>
        <v>2.3679999999999999</v>
      </c>
      <c r="K151" s="232" t="s">
        <v>14</v>
      </c>
      <c r="L151" s="229"/>
      <c r="M151" s="229"/>
    </row>
    <row r="152" spans="1:26" ht="13.8" thickBot="1" x14ac:dyDescent="0.3">
      <c r="B152" s="226"/>
      <c r="C152" s="226" t="s">
        <v>416</v>
      </c>
      <c r="D152" s="229"/>
      <c r="E152" s="232"/>
      <c r="F152" s="96"/>
      <c r="G152" s="228"/>
      <c r="H152" s="96"/>
      <c r="I152" s="232"/>
      <c r="J152" s="229">
        <f t="shared" si="11"/>
        <v>0</v>
      </c>
      <c r="K152" s="232" t="s">
        <v>14</v>
      </c>
      <c r="L152" s="229"/>
      <c r="M152" s="229"/>
    </row>
    <row r="153" spans="1:26" ht="13.8" thickBot="1" x14ac:dyDescent="0.3">
      <c r="B153" s="229"/>
      <c r="C153" s="260" t="s">
        <v>416</v>
      </c>
      <c r="D153" s="229"/>
      <c r="E153" s="229"/>
      <c r="F153" s="96"/>
      <c r="G153" s="229"/>
      <c r="H153" s="96"/>
      <c r="I153" s="229"/>
      <c r="J153" s="229">
        <f t="shared" si="11"/>
        <v>0</v>
      </c>
      <c r="K153" s="232" t="s">
        <v>14</v>
      </c>
      <c r="L153" s="229"/>
      <c r="M153" s="229"/>
    </row>
    <row r="154" spans="1:26" s="8" customFormat="1" x14ac:dyDescent="0.25">
      <c r="A154" s="586"/>
      <c r="B154" s="260"/>
      <c r="C154" s="260" t="s">
        <v>196</v>
      </c>
      <c r="D154" s="260"/>
      <c r="E154" s="260"/>
      <c r="F154" s="261"/>
      <c r="G154" s="260"/>
      <c r="H154" s="261"/>
      <c r="I154" s="260"/>
      <c r="J154" s="260">
        <f>SUM(J147:J153)</f>
        <v>812.38800000000003</v>
      </c>
      <c r="K154" s="262" t="s">
        <v>14</v>
      </c>
      <c r="L154" s="260"/>
      <c r="M154" s="260"/>
      <c r="N154"/>
      <c r="O154"/>
      <c r="P154"/>
      <c r="Q154"/>
      <c r="R154"/>
      <c r="S154"/>
      <c r="T154"/>
      <c r="U154"/>
      <c r="Y154"/>
      <c r="Z154"/>
    </row>
    <row r="155" spans="1:26" x14ac:dyDescent="0.25">
      <c r="B155" s="229"/>
      <c r="C155" s="229"/>
      <c r="D155" s="229"/>
      <c r="E155" s="229"/>
      <c r="F155" s="229"/>
      <c r="G155" s="229"/>
      <c r="H155" s="229"/>
      <c r="I155" s="229"/>
      <c r="J155" s="229"/>
      <c r="K155" s="229"/>
      <c r="L155" s="229"/>
      <c r="M155" s="229"/>
      <c r="N155" s="8"/>
      <c r="O155" s="8"/>
      <c r="P155" s="8"/>
      <c r="Q155" s="8"/>
      <c r="R155" s="8"/>
      <c r="S155" s="8"/>
      <c r="T155" s="8"/>
      <c r="U155" s="8"/>
      <c r="Y155" s="8"/>
      <c r="Z155" s="8"/>
    </row>
    <row r="156" spans="1:26" ht="34.950000000000003" customHeight="1" x14ac:dyDescent="0.25">
      <c r="B156" s="534"/>
      <c r="C156" s="534"/>
      <c r="D156" s="534"/>
      <c r="E156" s="534"/>
      <c r="F156" s="534"/>
      <c r="G156" s="534"/>
      <c r="H156" s="534"/>
      <c r="I156" s="534"/>
      <c r="J156" s="534"/>
      <c r="K156" s="534"/>
      <c r="L156" s="534"/>
      <c r="M156" s="534"/>
    </row>
    <row r="157" spans="1:26" ht="22.05" customHeight="1" x14ac:dyDescent="0.3">
      <c r="B157" s="112" t="s">
        <v>541</v>
      </c>
      <c r="C157" s="101"/>
      <c r="D157" s="101"/>
      <c r="E157" s="101"/>
      <c r="F157" s="101"/>
      <c r="G157" s="101"/>
      <c r="H157" s="101"/>
      <c r="I157" s="101"/>
      <c r="J157" s="101"/>
      <c r="K157" s="101"/>
      <c r="L157" s="101"/>
      <c r="M157" s="101"/>
    </row>
    <row r="158" spans="1:26" ht="22.05" customHeight="1" x14ac:dyDescent="0.3">
      <c r="B158" s="112"/>
      <c r="C158" s="101"/>
      <c r="D158" s="101"/>
      <c r="E158" s="101"/>
      <c r="F158" s="101"/>
      <c r="G158" s="101"/>
      <c r="H158" s="101"/>
      <c r="I158" s="101"/>
      <c r="J158" s="101"/>
      <c r="K158" s="101"/>
      <c r="L158" s="101"/>
      <c r="M158" s="101"/>
    </row>
    <row r="159" spans="1:26" ht="49.95" customHeight="1" x14ac:dyDescent="0.25">
      <c r="B159" s="961" t="s">
        <v>302</v>
      </c>
      <c r="C159" s="961"/>
      <c r="D159" s="961"/>
      <c r="E159" s="961"/>
      <c r="F159" s="961"/>
      <c r="G159" s="961"/>
      <c r="H159" s="961"/>
      <c r="I159" s="961"/>
      <c r="J159" s="961"/>
      <c r="K159" s="961"/>
      <c r="L159" s="961"/>
      <c r="M159" s="961"/>
    </row>
    <row r="160" spans="1:26" ht="22.05" customHeight="1" x14ac:dyDescent="0.3">
      <c r="B160" s="112"/>
      <c r="C160" s="101"/>
      <c r="D160" s="101"/>
      <c r="E160" s="126"/>
      <c r="F160" s="126"/>
      <c r="G160" s="126"/>
      <c r="H160" s="125"/>
      <c r="I160" s="125"/>
      <c r="J160" s="126"/>
      <c r="K160" s="126"/>
      <c r="L160" s="125"/>
      <c r="M160" s="125"/>
    </row>
    <row r="161" spans="2:13" ht="22.05" customHeight="1" x14ac:dyDescent="0.3">
      <c r="B161" s="112"/>
      <c r="C161" s="101"/>
      <c r="D161" s="101"/>
      <c r="E161" s="962" t="s">
        <v>303</v>
      </c>
      <c r="F161" s="962"/>
      <c r="G161" s="962"/>
      <c r="H161" s="963" t="s">
        <v>158</v>
      </c>
      <c r="I161" s="963"/>
      <c r="J161" s="963" t="s">
        <v>304</v>
      </c>
      <c r="K161" s="963"/>
      <c r="L161" s="963" t="s">
        <v>158</v>
      </c>
      <c r="M161" s="963"/>
    </row>
    <row r="162" spans="2:13" ht="10.95" customHeight="1" thickBot="1" x14ac:dyDescent="0.3">
      <c r="B162" s="100"/>
      <c r="C162" s="101"/>
      <c r="D162" s="101"/>
      <c r="E162" s="101"/>
      <c r="F162" s="101"/>
      <c r="G162" s="101"/>
      <c r="H162" s="101"/>
      <c r="I162" s="101"/>
      <c r="J162" s="101"/>
      <c r="K162" s="101"/>
      <c r="L162" s="101"/>
      <c r="M162" s="101"/>
    </row>
    <row r="163" spans="2:13" ht="13.8" thickBot="1" x14ac:dyDescent="0.3">
      <c r="B163" s="101"/>
      <c r="C163" s="102" t="s">
        <v>307</v>
      </c>
      <c r="D163" s="101"/>
      <c r="E163" s="101"/>
      <c r="F163" s="115">
        <v>2.5</v>
      </c>
      <c r="G163" s="104" t="s">
        <v>22</v>
      </c>
      <c r="H163" s="117">
        <v>14.5</v>
      </c>
      <c r="I163" s="104" t="s">
        <v>11</v>
      </c>
      <c r="J163" s="116"/>
      <c r="K163" s="104" t="s">
        <v>22</v>
      </c>
      <c r="L163" s="117">
        <v>14.5</v>
      </c>
      <c r="M163" s="104" t="s">
        <v>11</v>
      </c>
    </row>
    <row r="164" spans="2:13" ht="13.8" thickBot="1" x14ac:dyDescent="0.3">
      <c r="B164" s="101"/>
      <c r="C164" s="102" t="s">
        <v>467</v>
      </c>
      <c r="D164" s="101"/>
      <c r="E164" s="101"/>
      <c r="F164" s="115">
        <v>2</v>
      </c>
      <c r="G164" s="104" t="s">
        <v>22</v>
      </c>
      <c r="H164" s="114">
        <f t="shared" ref="H164:H178" si="12">$H$163</f>
        <v>14.5</v>
      </c>
      <c r="I164" s="104" t="s">
        <v>11</v>
      </c>
      <c r="J164" s="116"/>
      <c r="K164" s="104" t="s">
        <v>22</v>
      </c>
      <c r="L164" s="114">
        <f t="shared" ref="L164:L178" si="13">$L$163</f>
        <v>14.5</v>
      </c>
      <c r="M164" s="104" t="s">
        <v>11</v>
      </c>
    </row>
    <row r="165" spans="2:13" ht="13.8" thickBot="1" x14ac:dyDescent="0.3">
      <c r="B165" s="101"/>
      <c r="C165" s="102" t="s">
        <v>323</v>
      </c>
      <c r="D165" s="101"/>
      <c r="E165" s="101"/>
      <c r="F165" s="115">
        <v>1</v>
      </c>
      <c r="G165" s="104" t="s">
        <v>22</v>
      </c>
      <c r="H165" s="114">
        <f t="shared" si="12"/>
        <v>14.5</v>
      </c>
      <c r="I165" s="104" t="s">
        <v>11</v>
      </c>
      <c r="J165" s="116"/>
      <c r="K165" s="104" t="s">
        <v>22</v>
      </c>
      <c r="L165" s="114">
        <f t="shared" si="13"/>
        <v>14.5</v>
      </c>
      <c r="M165" s="104" t="s">
        <v>11</v>
      </c>
    </row>
    <row r="166" spans="2:13" ht="13.8" thickBot="1" x14ac:dyDescent="0.3">
      <c r="B166" s="101"/>
      <c r="C166" s="102" t="s">
        <v>430</v>
      </c>
      <c r="D166" s="101"/>
      <c r="E166" s="101"/>
      <c r="F166" s="116">
        <v>12</v>
      </c>
      <c r="G166" s="104" t="s">
        <v>22</v>
      </c>
      <c r="H166" s="114">
        <f t="shared" si="12"/>
        <v>14.5</v>
      </c>
      <c r="I166" s="104" t="s">
        <v>11</v>
      </c>
      <c r="J166" s="116"/>
      <c r="K166" s="104" t="s">
        <v>22</v>
      </c>
      <c r="L166" s="114">
        <f t="shared" si="13"/>
        <v>14.5</v>
      </c>
      <c r="M166" s="104" t="s">
        <v>11</v>
      </c>
    </row>
    <row r="167" spans="2:13" ht="13.8" thickBot="1" x14ac:dyDescent="0.3">
      <c r="B167" s="101"/>
      <c r="C167" s="102" t="s">
        <v>542</v>
      </c>
      <c r="D167" s="101"/>
      <c r="E167" s="101"/>
      <c r="F167" s="116">
        <v>10</v>
      </c>
      <c r="G167" s="104" t="s">
        <v>22</v>
      </c>
      <c r="H167" s="114">
        <f t="shared" si="12"/>
        <v>14.5</v>
      </c>
      <c r="I167" s="104" t="s">
        <v>11</v>
      </c>
      <c r="J167" s="116"/>
      <c r="K167" s="104" t="s">
        <v>22</v>
      </c>
      <c r="L167" s="114">
        <f t="shared" si="13"/>
        <v>14.5</v>
      </c>
      <c r="M167" s="104" t="s">
        <v>11</v>
      </c>
    </row>
    <row r="168" spans="2:13" ht="13.8" thickBot="1" x14ac:dyDescent="0.3">
      <c r="B168" s="101"/>
      <c r="C168" s="102" t="s">
        <v>507</v>
      </c>
      <c r="D168" s="101"/>
      <c r="E168" s="101"/>
      <c r="F168" s="115">
        <v>15</v>
      </c>
      <c r="G168" s="104" t="s">
        <v>22</v>
      </c>
      <c r="H168" s="114">
        <f t="shared" si="12"/>
        <v>14.5</v>
      </c>
      <c r="I168" s="104" t="s">
        <v>11</v>
      </c>
      <c r="J168" s="116">
        <v>15</v>
      </c>
      <c r="K168" s="104" t="s">
        <v>22</v>
      </c>
      <c r="L168" s="114">
        <f t="shared" si="13"/>
        <v>14.5</v>
      </c>
      <c r="M168" s="104" t="s">
        <v>11</v>
      </c>
    </row>
    <row r="169" spans="2:13" ht="13.8" thickBot="1" x14ac:dyDescent="0.3">
      <c r="B169" s="101"/>
      <c r="C169" s="102" t="s">
        <v>421</v>
      </c>
      <c r="D169" s="101"/>
      <c r="E169" s="101"/>
      <c r="F169" s="115">
        <v>25</v>
      </c>
      <c r="G169" s="104" t="s">
        <v>22</v>
      </c>
      <c r="H169" s="114">
        <f t="shared" si="12"/>
        <v>14.5</v>
      </c>
      <c r="I169" s="104" t="s">
        <v>11</v>
      </c>
      <c r="J169" s="116">
        <v>25</v>
      </c>
      <c r="K169" s="104" t="s">
        <v>22</v>
      </c>
      <c r="L169" s="114">
        <f t="shared" si="13"/>
        <v>14.5</v>
      </c>
      <c r="M169" s="104" t="s">
        <v>11</v>
      </c>
    </row>
    <row r="170" spans="2:13" ht="13.8" thickBot="1" x14ac:dyDescent="0.3">
      <c r="B170" s="101"/>
      <c r="C170" s="102" t="s">
        <v>506</v>
      </c>
      <c r="D170" s="101"/>
      <c r="E170" s="101"/>
      <c r="F170" s="115">
        <v>6</v>
      </c>
      <c r="G170" s="104" t="s">
        <v>22</v>
      </c>
      <c r="H170" s="114">
        <f t="shared" si="12"/>
        <v>14.5</v>
      </c>
      <c r="I170" s="104" t="s">
        <v>11</v>
      </c>
      <c r="J170" s="116"/>
      <c r="K170" s="104" t="s">
        <v>22</v>
      </c>
      <c r="L170" s="114">
        <f t="shared" si="13"/>
        <v>14.5</v>
      </c>
      <c r="M170" s="104" t="s">
        <v>11</v>
      </c>
    </row>
    <row r="171" spans="2:13" ht="13.8" thickBot="1" x14ac:dyDescent="0.3">
      <c r="B171" s="101"/>
      <c r="C171" s="102" t="s">
        <v>338</v>
      </c>
      <c r="D171" s="101"/>
      <c r="E171" s="101"/>
      <c r="F171" s="115">
        <v>8</v>
      </c>
      <c r="G171" s="104" t="s">
        <v>22</v>
      </c>
      <c r="H171" s="114">
        <f t="shared" si="12"/>
        <v>14.5</v>
      </c>
      <c r="I171" s="104" t="s">
        <v>11</v>
      </c>
      <c r="J171" s="116"/>
      <c r="K171" s="104" t="s">
        <v>22</v>
      </c>
      <c r="L171" s="114">
        <f t="shared" si="13"/>
        <v>14.5</v>
      </c>
      <c r="M171" s="104" t="s">
        <v>11</v>
      </c>
    </row>
    <row r="172" spans="2:13" ht="13.8" thickBot="1" x14ac:dyDescent="0.3">
      <c r="B172" s="101"/>
      <c r="C172" s="102" t="s">
        <v>427</v>
      </c>
      <c r="D172" s="101"/>
      <c r="E172" s="101"/>
      <c r="F172" s="115">
        <v>20</v>
      </c>
      <c r="G172" s="104" t="s">
        <v>22</v>
      </c>
      <c r="H172" s="114">
        <f t="shared" si="12"/>
        <v>14.5</v>
      </c>
      <c r="I172" s="104" t="s">
        <v>11</v>
      </c>
      <c r="J172" s="116">
        <v>40</v>
      </c>
      <c r="K172" s="104" t="s">
        <v>22</v>
      </c>
      <c r="L172" s="114">
        <f t="shared" si="13"/>
        <v>14.5</v>
      </c>
      <c r="M172" s="104" t="s">
        <v>11</v>
      </c>
    </row>
    <row r="173" spans="2:13" ht="13.8" thickBot="1" x14ac:dyDescent="0.3">
      <c r="B173" s="101"/>
      <c r="C173" s="102" t="s">
        <v>317</v>
      </c>
      <c r="D173" s="101"/>
      <c r="E173" s="101"/>
      <c r="F173" s="115">
        <v>4</v>
      </c>
      <c r="G173" s="104" t="s">
        <v>22</v>
      </c>
      <c r="H173" s="114">
        <f t="shared" si="12"/>
        <v>14.5</v>
      </c>
      <c r="I173" s="104" t="s">
        <v>11</v>
      </c>
      <c r="J173" s="116"/>
      <c r="K173" s="104" t="s">
        <v>22</v>
      </c>
      <c r="L173" s="114">
        <f t="shared" si="13"/>
        <v>14.5</v>
      </c>
      <c r="M173" s="104" t="s">
        <v>11</v>
      </c>
    </row>
    <row r="174" spans="2:13" ht="13.8" thickBot="1" x14ac:dyDescent="0.3">
      <c r="B174" s="101"/>
      <c r="C174" s="102" t="s">
        <v>489</v>
      </c>
      <c r="D174" s="101"/>
      <c r="E174" s="101"/>
      <c r="F174" s="115">
        <v>20</v>
      </c>
      <c r="G174" s="104" t="s">
        <v>22</v>
      </c>
      <c r="H174" s="114">
        <f t="shared" si="12"/>
        <v>14.5</v>
      </c>
      <c r="I174" s="104" t="s">
        <v>11</v>
      </c>
      <c r="J174" s="116"/>
      <c r="K174" s="104" t="s">
        <v>22</v>
      </c>
      <c r="L174" s="114">
        <f t="shared" si="13"/>
        <v>14.5</v>
      </c>
      <c r="M174" s="104" t="s">
        <v>11</v>
      </c>
    </row>
    <row r="175" spans="2:13" ht="13.8" thickBot="1" x14ac:dyDescent="0.3">
      <c r="B175" s="101"/>
      <c r="C175" s="102" t="s">
        <v>429</v>
      </c>
      <c r="D175" s="101"/>
      <c r="E175" s="101"/>
      <c r="F175" s="116">
        <v>12</v>
      </c>
      <c r="G175" s="104" t="s">
        <v>22</v>
      </c>
      <c r="H175" s="114">
        <f t="shared" si="12"/>
        <v>14.5</v>
      </c>
      <c r="I175" s="104" t="s">
        <v>11</v>
      </c>
      <c r="J175" s="116"/>
      <c r="K175" s="104" t="s">
        <v>22</v>
      </c>
      <c r="L175" s="114">
        <f t="shared" si="13"/>
        <v>14.5</v>
      </c>
      <c r="M175" s="104" t="s">
        <v>11</v>
      </c>
    </row>
    <row r="176" spans="2:13" ht="13.8" thickBot="1" x14ac:dyDescent="0.3">
      <c r="B176" s="101"/>
      <c r="C176" s="102" t="s">
        <v>431</v>
      </c>
      <c r="D176" s="101"/>
      <c r="E176" s="101"/>
      <c r="F176" s="116"/>
      <c r="G176" s="104" t="s">
        <v>22</v>
      </c>
      <c r="H176" s="114">
        <f t="shared" si="12"/>
        <v>14.5</v>
      </c>
      <c r="I176" s="104" t="s">
        <v>11</v>
      </c>
      <c r="J176" s="97"/>
      <c r="K176" s="104" t="s">
        <v>22</v>
      </c>
      <c r="L176" s="114">
        <f t="shared" si="13"/>
        <v>14.5</v>
      </c>
      <c r="M176" s="104" t="s">
        <v>11</v>
      </c>
    </row>
    <row r="177" spans="1:26" ht="13.8" thickBot="1" x14ac:dyDescent="0.3">
      <c r="B177" s="101"/>
      <c r="C177" s="102" t="s">
        <v>431</v>
      </c>
      <c r="D177" s="101"/>
      <c r="E177" s="101"/>
      <c r="F177" s="116"/>
      <c r="G177" s="104" t="s">
        <v>22</v>
      </c>
      <c r="H177" s="114">
        <f t="shared" si="12"/>
        <v>14.5</v>
      </c>
      <c r="I177" s="104" t="s">
        <v>11</v>
      </c>
      <c r="J177" s="97"/>
      <c r="K177" s="104" t="s">
        <v>22</v>
      </c>
      <c r="L177" s="114">
        <f t="shared" si="13"/>
        <v>14.5</v>
      </c>
      <c r="M177" s="104" t="s">
        <v>11</v>
      </c>
    </row>
    <row r="178" spans="1:26" ht="13.8" thickBot="1" x14ac:dyDescent="0.3">
      <c r="B178" s="101"/>
      <c r="C178" s="102" t="s">
        <v>431</v>
      </c>
      <c r="D178" s="103"/>
      <c r="E178" s="103"/>
      <c r="F178" s="97"/>
      <c r="G178" s="104" t="s">
        <v>22</v>
      </c>
      <c r="H178" s="114">
        <f t="shared" si="12"/>
        <v>14.5</v>
      </c>
      <c r="I178" s="104" t="s">
        <v>11</v>
      </c>
      <c r="J178" s="97"/>
      <c r="K178" s="104" t="s">
        <v>22</v>
      </c>
      <c r="L178" s="114">
        <f t="shared" si="13"/>
        <v>14.5</v>
      </c>
      <c r="M178" s="104" t="s">
        <v>11</v>
      </c>
    </row>
    <row r="179" spans="1:26" s="8" customFormat="1" x14ac:dyDescent="0.25">
      <c r="A179" s="586"/>
      <c r="B179" s="264"/>
      <c r="C179" s="265" t="s">
        <v>196</v>
      </c>
      <c r="D179" s="266"/>
      <c r="E179" s="266"/>
      <c r="F179" s="267">
        <f>SUM(F163:F178)</f>
        <v>137.5</v>
      </c>
      <c r="G179" s="264" t="s">
        <v>22</v>
      </c>
      <c r="H179" s="268">
        <f>F179*H163</f>
        <v>1993.75</v>
      </c>
      <c r="I179" s="264" t="s">
        <v>14</v>
      </c>
      <c r="J179" s="269">
        <f>SUM(J163:J178)</f>
        <v>80</v>
      </c>
      <c r="K179" s="264" t="s">
        <v>22</v>
      </c>
      <c r="L179" s="268">
        <f>J179*L163</f>
        <v>1160</v>
      </c>
      <c r="M179" s="264" t="s">
        <v>14</v>
      </c>
      <c r="N179"/>
      <c r="O179"/>
      <c r="P179"/>
      <c r="Q179"/>
      <c r="R179"/>
      <c r="S179"/>
      <c r="T179"/>
      <c r="U179"/>
      <c r="Y179"/>
      <c r="Z179"/>
    </row>
    <row r="180" spans="1:26" ht="57" customHeight="1" thickBot="1" x14ac:dyDescent="0.3">
      <c r="B180" s="534"/>
      <c r="C180" s="534"/>
      <c r="D180" s="534"/>
      <c r="E180" s="534"/>
      <c r="F180" s="534"/>
      <c r="G180" s="534"/>
      <c r="H180" s="534"/>
      <c r="I180" s="534"/>
      <c r="J180" s="534"/>
      <c r="K180" s="534"/>
      <c r="L180" s="534"/>
      <c r="M180" s="534"/>
      <c r="N180" s="8"/>
      <c r="O180" s="8"/>
      <c r="P180" s="8"/>
      <c r="Q180" s="8"/>
      <c r="R180" s="8"/>
      <c r="S180" s="8"/>
      <c r="T180" s="8"/>
      <c r="U180" s="8"/>
      <c r="Y180" s="8"/>
      <c r="Z180" s="8"/>
    </row>
    <row r="181" spans="1:26" ht="30" customHeight="1" thickBot="1" x14ac:dyDescent="0.45">
      <c r="B181" s="977" t="s">
        <v>270</v>
      </c>
      <c r="C181" s="978"/>
      <c r="D181" s="978"/>
      <c r="E181" s="979"/>
      <c r="F181" s="534"/>
      <c r="G181" s="534"/>
      <c r="H181" s="534"/>
      <c r="I181" s="534"/>
      <c r="J181" s="983" t="s">
        <v>271</v>
      </c>
      <c r="K181" s="983"/>
      <c r="L181" s="983"/>
      <c r="M181" s="534"/>
    </row>
    <row r="182" spans="1:26" ht="30" customHeight="1" x14ac:dyDescent="0.4">
      <c r="B182" s="538"/>
      <c r="C182" s="538"/>
      <c r="D182" s="538"/>
      <c r="E182" s="538"/>
      <c r="F182" s="534"/>
      <c r="G182" s="534"/>
      <c r="H182" s="534"/>
      <c r="I182" s="534"/>
      <c r="J182" s="564"/>
      <c r="K182" s="564"/>
      <c r="L182" s="564"/>
      <c r="M182" s="534"/>
    </row>
    <row r="183" spans="1:26" ht="15.6" x14ac:dyDescent="0.3">
      <c r="B183" s="113" t="s">
        <v>543</v>
      </c>
      <c r="C183" s="65"/>
      <c r="D183" s="65"/>
      <c r="E183" s="65"/>
      <c r="F183" s="959" t="s">
        <v>159</v>
      </c>
      <c r="G183" s="959"/>
      <c r="H183" s="959" t="s">
        <v>158</v>
      </c>
      <c r="I183" s="959"/>
      <c r="J183" s="959" t="s">
        <v>273</v>
      </c>
      <c r="K183" s="959"/>
      <c r="L183" s="143" t="s">
        <v>274</v>
      </c>
      <c r="M183" s="67"/>
    </row>
    <row r="184" spans="1:26" ht="13.8" thickBot="1" x14ac:dyDescent="0.3">
      <c r="B184" s="69"/>
      <c r="C184" s="65"/>
      <c r="D184" s="65"/>
      <c r="E184" s="65"/>
      <c r="F184" s="65"/>
      <c r="G184" s="65"/>
      <c r="H184" s="65"/>
      <c r="I184" s="65"/>
      <c r="J184" s="67"/>
      <c r="K184" s="67"/>
      <c r="L184" s="67"/>
      <c r="M184" s="67"/>
    </row>
    <row r="185" spans="1:26" ht="13.8" thickBot="1" x14ac:dyDescent="0.3">
      <c r="B185" s="65"/>
      <c r="C185" s="66" t="s">
        <v>544</v>
      </c>
      <c r="D185" s="67"/>
      <c r="E185" s="65"/>
      <c r="F185" s="118">
        <v>150</v>
      </c>
      <c r="G185" s="65" t="s">
        <v>327</v>
      </c>
      <c r="H185" s="95">
        <v>2.5</v>
      </c>
      <c r="I185" s="70" t="s">
        <v>152</v>
      </c>
      <c r="J185" s="235">
        <f>F185*H185</f>
        <v>375</v>
      </c>
      <c r="K185" s="65" t="s">
        <v>14</v>
      </c>
      <c r="L185" s="65" t="s">
        <v>500</v>
      </c>
      <c r="M185" s="67"/>
    </row>
    <row r="186" spans="1:26" ht="13.8" thickBot="1" x14ac:dyDescent="0.3">
      <c r="B186" s="65"/>
      <c r="C186" s="65" t="s">
        <v>403</v>
      </c>
      <c r="D186" s="66"/>
      <c r="E186" s="65"/>
      <c r="F186" s="118"/>
      <c r="G186" s="65" t="s">
        <v>327</v>
      </c>
      <c r="H186" s="95"/>
      <c r="I186" s="70" t="s">
        <v>152</v>
      </c>
      <c r="J186" s="235">
        <f t="shared" ref="J186:J187" si="14">F186*H186</f>
        <v>0</v>
      </c>
      <c r="K186" s="65" t="s">
        <v>14</v>
      </c>
      <c r="L186" s="67"/>
      <c r="M186" s="67"/>
    </row>
    <row r="187" spans="1:26" ht="13.8" thickBot="1" x14ac:dyDescent="0.3">
      <c r="B187" s="65"/>
      <c r="C187" s="65" t="s">
        <v>403</v>
      </c>
      <c r="D187" s="66"/>
      <c r="E187" s="65"/>
      <c r="F187" s="118"/>
      <c r="G187" s="65" t="s">
        <v>327</v>
      </c>
      <c r="H187" s="95"/>
      <c r="I187" s="70" t="s">
        <v>152</v>
      </c>
      <c r="J187" s="235">
        <f t="shared" si="14"/>
        <v>0</v>
      </c>
      <c r="K187" s="65" t="s">
        <v>14</v>
      </c>
      <c r="L187" s="67"/>
      <c r="M187" s="67"/>
    </row>
    <row r="188" spans="1:26" ht="13.8" thickBot="1" x14ac:dyDescent="0.3">
      <c r="B188" s="65"/>
      <c r="C188" s="65"/>
      <c r="D188" s="71"/>
      <c r="E188" s="65"/>
      <c r="F188" s="65"/>
      <c r="G188" s="65"/>
      <c r="H188" s="70"/>
      <c r="I188" s="70"/>
      <c r="J188" s="235"/>
      <c r="K188" s="65"/>
      <c r="L188" s="67"/>
      <c r="M188" s="67"/>
    </row>
    <row r="189" spans="1:26" ht="13.8" thickBot="1" x14ac:dyDescent="0.3">
      <c r="B189" s="65"/>
      <c r="C189" s="65" t="s">
        <v>545</v>
      </c>
      <c r="D189" s="71"/>
      <c r="E189" s="65"/>
      <c r="F189" s="118">
        <v>10</v>
      </c>
      <c r="G189" s="65" t="s">
        <v>1</v>
      </c>
      <c r="H189" s="99">
        <v>4</v>
      </c>
      <c r="I189" s="70" t="s">
        <v>6</v>
      </c>
      <c r="J189" s="235">
        <f t="shared" ref="J189" si="15">F189*H189</f>
        <v>40</v>
      </c>
      <c r="K189" s="65" t="s">
        <v>14</v>
      </c>
      <c r="L189" s="67"/>
      <c r="M189" s="67"/>
    </row>
    <row r="190" spans="1:26" ht="13.8" thickBot="1" x14ac:dyDescent="0.3">
      <c r="B190" s="65"/>
      <c r="C190" s="65" t="s">
        <v>405</v>
      </c>
      <c r="D190" s="71"/>
      <c r="E190" s="65"/>
      <c r="F190" s="118"/>
      <c r="G190" s="65" t="s">
        <v>1</v>
      </c>
      <c r="H190" s="99"/>
      <c r="I190" s="70" t="s">
        <v>6</v>
      </c>
      <c r="J190" s="235"/>
      <c r="K190" s="65" t="s">
        <v>14</v>
      </c>
      <c r="L190" s="67"/>
      <c r="M190" s="67"/>
    </row>
    <row r="191" spans="1:26" s="8" customFormat="1" x14ac:dyDescent="0.25">
      <c r="A191" s="586"/>
      <c r="B191" s="71"/>
      <c r="C191" s="71" t="s">
        <v>196</v>
      </c>
      <c r="D191" s="71"/>
      <c r="E191" s="71"/>
      <c r="F191" s="277"/>
      <c r="G191" s="71"/>
      <c r="H191" s="278"/>
      <c r="I191" s="279"/>
      <c r="J191" s="280">
        <f>SUM(J185:J190)</f>
        <v>415</v>
      </c>
      <c r="K191" s="71" t="s">
        <v>14</v>
      </c>
      <c r="L191" s="71"/>
      <c r="M191" s="71"/>
      <c r="N191"/>
      <c r="O191"/>
      <c r="P191"/>
      <c r="Q191"/>
      <c r="R191"/>
      <c r="S191"/>
      <c r="T191"/>
      <c r="U191"/>
      <c r="Y191"/>
      <c r="Z191"/>
    </row>
    <row r="192" spans="1:26" x14ac:dyDescent="0.25">
      <c r="B192" s="65"/>
      <c r="C192" s="65"/>
      <c r="D192" s="71"/>
      <c r="E192" s="65"/>
      <c r="F192" s="68"/>
      <c r="G192" s="65"/>
      <c r="H192" s="70"/>
      <c r="I192" s="70"/>
      <c r="J192" s="67"/>
      <c r="K192" s="65"/>
      <c r="L192" s="67"/>
      <c r="M192" s="67"/>
      <c r="N192" s="8"/>
      <c r="O192" s="8"/>
      <c r="P192" s="8"/>
      <c r="Q192" s="8"/>
      <c r="R192" s="8"/>
      <c r="S192" s="8"/>
      <c r="T192" s="8"/>
      <c r="U192" s="8"/>
      <c r="Y192" s="8"/>
      <c r="Z192" s="8"/>
    </row>
    <row r="193" spans="1:26" ht="37.049999999999997" customHeight="1" x14ac:dyDescent="0.25">
      <c r="B193" s="535"/>
      <c r="C193" s="535"/>
      <c r="D193" s="536"/>
      <c r="E193" s="535"/>
      <c r="F193" s="535"/>
      <c r="G193" s="535"/>
      <c r="H193" s="537"/>
      <c r="I193" s="537"/>
      <c r="J193" s="534"/>
      <c r="K193" s="534"/>
      <c r="L193" s="534"/>
      <c r="M193" s="534"/>
    </row>
    <row r="194" spans="1:26" ht="15.6" x14ac:dyDescent="0.3">
      <c r="B194" s="120" t="s">
        <v>546</v>
      </c>
      <c r="C194" s="121"/>
      <c r="D194" s="121"/>
      <c r="E194" s="121"/>
      <c r="F194" s="960" t="s">
        <v>159</v>
      </c>
      <c r="G194" s="960"/>
      <c r="H194" s="960" t="s">
        <v>158</v>
      </c>
      <c r="I194" s="960"/>
      <c r="J194" s="960" t="s">
        <v>273</v>
      </c>
      <c r="K194" s="960"/>
      <c r="L194" s="123"/>
      <c r="M194" s="123"/>
    </row>
    <row r="195" spans="1:26" ht="13.8" thickBot="1" x14ac:dyDescent="0.3">
      <c r="B195" s="121"/>
      <c r="C195" s="121"/>
      <c r="D195" s="121"/>
      <c r="E195" s="121"/>
      <c r="F195" s="121"/>
      <c r="G195" s="121"/>
      <c r="H195" s="122"/>
      <c r="I195" s="122"/>
      <c r="J195" s="123"/>
      <c r="K195" s="123"/>
      <c r="L195" s="123"/>
      <c r="M195" s="123"/>
    </row>
    <row r="196" spans="1:26" ht="13.8" thickBot="1" x14ac:dyDescent="0.3">
      <c r="B196" s="121"/>
      <c r="C196" s="121" t="s">
        <v>276</v>
      </c>
      <c r="D196" s="123"/>
      <c r="E196" s="121"/>
      <c r="F196" s="118">
        <v>350</v>
      </c>
      <c r="G196" s="121" t="s">
        <v>21</v>
      </c>
      <c r="H196" s="99">
        <v>0.95</v>
      </c>
      <c r="I196" s="122" t="s">
        <v>6</v>
      </c>
      <c r="J196" s="234">
        <f>F196*H196</f>
        <v>332.5</v>
      </c>
      <c r="K196" s="121" t="s">
        <v>14</v>
      </c>
      <c r="L196" s="123"/>
      <c r="M196" s="123"/>
    </row>
    <row r="197" spans="1:26" ht="13.8" thickBot="1" x14ac:dyDescent="0.3">
      <c r="B197" s="121"/>
      <c r="C197" s="121" t="s">
        <v>547</v>
      </c>
      <c r="D197" s="123"/>
      <c r="E197" s="121"/>
      <c r="F197" s="118">
        <v>110</v>
      </c>
      <c r="G197" s="121" t="s">
        <v>21</v>
      </c>
      <c r="H197" s="99">
        <v>0.4</v>
      </c>
      <c r="I197" s="122" t="s">
        <v>6</v>
      </c>
      <c r="J197" s="234">
        <f t="shared" ref="J197:J199" si="16">F197*H197</f>
        <v>44</v>
      </c>
      <c r="K197" s="121" t="s">
        <v>14</v>
      </c>
      <c r="L197" s="123"/>
      <c r="M197" s="123"/>
    </row>
    <row r="198" spans="1:26" ht="13.8" thickBot="1" x14ac:dyDescent="0.3">
      <c r="B198" s="121"/>
      <c r="C198" s="121" t="s">
        <v>280</v>
      </c>
      <c r="D198" s="121"/>
      <c r="E198" s="121"/>
      <c r="F198" s="96"/>
      <c r="G198" s="121" t="s">
        <v>21</v>
      </c>
      <c r="H198" s="99"/>
      <c r="I198" s="122" t="s">
        <v>6</v>
      </c>
      <c r="J198" s="234">
        <f t="shared" si="16"/>
        <v>0</v>
      </c>
      <c r="K198" s="121" t="s">
        <v>14</v>
      </c>
      <c r="L198" s="123"/>
      <c r="M198" s="123"/>
    </row>
    <row r="199" spans="1:26" ht="13.8" thickBot="1" x14ac:dyDescent="0.3">
      <c r="B199" s="121"/>
      <c r="C199" s="121" t="s">
        <v>280</v>
      </c>
      <c r="D199" s="121"/>
      <c r="E199" s="121"/>
      <c r="F199" s="96"/>
      <c r="G199" s="121" t="s">
        <v>21</v>
      </c>
      <c r="H199" s="98"/>
      <c r="I199" s="122" t="s">
        <v>6</v>
      </c>
      <c r="J199" s="234">
        <f t="shared" si="16"/>
        <v>0</v>
      </c>
      <c r="K199" s="121" t="s">
        <v>14</v>
      </c>
      <c r="L199" s="123"/>
      <c r="M199" s="123"/>
    </row>
    <row r="200" spans="1:26" s="8" customFormat="1" x14ac:dyDescent="0.25">
      <c r="A200" s="586"/>
      <c r="B200" s="270"/>
      <c r="C200" s="270" t="s">
        <v>196</v>
      </c>
      <c r="D200" s="270"/>
      <c r="E200" s="270"/>
      <c r="F200" s="274"/>
      <c r="G200" s="270"/>
      <c r="H200" s="275"/>
      <c r="I200" s="271"/>
      <c r="J200" s="276">
        <f>SUM(J196:J199)</f>
        <v>376.5</v>
      </c>
      <c r="K200" s="270" t="s">
        <v>14</v>
      </c>
      <c r="L200" s="270"/>
      <c r="M200" s="270"/>
      <c r="N200"/>
      <c r="O200"/>
      <c r="P200"/>
      <c r="Q200"/>
      <c r="R200"/>
      <c r="S200"/>
      <c r="T200"/>
      <c r="U200"/>
      <c r="Y200"/>
      <c r="Z200"/>
    </row>
    <row r="201" spans="1:26" x14ac:dyDescent="0.25">
      <c r="B201" s="121"/>
      <c r="C201" s="121"/>
      <c r="D201" s="121"/>
      <c r="E201" s="121"/>
      <c r="F201" s="121"/>
      <c r="G201" s="121"/>
      <c r="H201" s="122"/>
      <c r="I201" s="122"/>
      <c r="J201" s="123"/>
      <c r="K201" s="123"/>
      <c r="L201" s="123"/>
      <c r="M201" s="123"/>
      <c r="N201" s="8"/>
      <c r="O201" s="8"/>
      <c r="P201" s="8"/>
      <c r="Q201" s="8"/>
      <c r="R201" s="8"/>
      <c r="S201" s="8"/>
      <c r="T201" s="8"/>
      <c r="U201" s="8"/>
      <c r="Y201" s="8"/>
      <c r="Z201" s="8"/>
    </row>
    <row r="202" spans="1:26" ht="37.950000000000003" customHeight="1" x14ac:dyDescent="0.25">
      <c r="B202" s="534"/>
      <c r="C202" s="534"/>
      <c r="D202" s="534"/>
      <c r="E202" s="534"/>
      <c r="F202" s="534"/>
      <c r="G202" s="534"/>
      <c r="H202" s="534"/>
      <c r="I202" s="534"/>
      <c r="J202" s="534"/>
      <c r="K202" s="534"/>
      <c r="L202" s="534"/>
      <c r="M202" s="534"/>
    </row>
    <row r="203" spans="1:26" ht="15.6" x14ac:dyDescent="0.3">
      <c r="B203" s="109" t="s">
        <v>548</v>
      </c>
      <c r="C203" s="72"/>
      <c r="D203" s="72"/>
      <c r="E203" s="72"/>
      <c r="F203" s="957" t="s">
        <v>159</v>
      </c>
      <c r="G203" s="957"/>
      <c r="H203" s="958" t="s">
        <v>158</v>
      </c>
      <c r="I203" s="958"/>
      <c r="J203" s="957" t="s">
        <v>273</v>
      </c>
      <c r="K203" s="957"/>
      <c r="L203" s="79"/>
      <c r="M203" s="79"/>
    </row>
    <row r="204" spans="1:26" ht="15.6" x14ac:dyDescent="0.3">
      <c r="B204" s="109"/>
      <c r="C204" s="72"/>
      <c r="D204" s="462" t="s">
        <v>364</v>
      </c>
      <c r="E204" s="72"/>
      <c r="F204" s="128"/>
      <c r="G204" s="128"/>
      <c r="H204" s="127"/>
      <c r="I204" s="127"/>
      <c r="J204" s="128"/>
      <c r="K204" s="128"/>
      <c r="L204" s="79"/>
      <c r="M204" s="79"/>
    </row>
    <row r="205" spans="1:26" ht="13.8" thickBot="1" x14ac:dyDescent="0.3">
      <c r="B205" s="214" t="s">
        <v>357</v>
      </c>
      <c r="C205" s="72"/>
      <c r="D205" s="72"/>
      <c r="E205" s="72"/>
      <c r="F205" s="74"/>
      <c r="G205" s="74"/>
      <c r="H205" s="73"/>
      <c r="I205" s="73"/>
      <c r="J205" s="79"/>
      <c r="K205" s="79"/>
      <c r="L205" s="79"/>
      <c r="M205" s="79"/>
    </row>
    <row r="206" spans="1:26" ht="13.8" thickBot="1" x14ac:dyDescent="0.3">
      <c r="B206" s="72"/>
      <c r="C206" s="72" t="s">
        <v>71</v>
      </c>
      <c r="D206" s="79"/>
      <c r="E206" s="72"/>
      <c r="F206" s="593">
        <v>0.125</v>
      </c>
      <c r="G206" s="74" t="s">
        <v>20</v>
      </c>
      <c r="H206" s="99">
        <v>195.18</v>
      </c>
      <c r="I206" s="73" t="s">
        <v>5</v>
      </c>
      <c r="J206" s="79">
        <f>F206*H206</f>
        <v>24.397500000000001</v>
      </c>
      <c r="K206" s="72" t="s">
        <v>14</v>
      </c>
      <c r="L206" s="79"/>
      <c r="M206" s="79"/>
    </row>
    <row r="207" spans="1:26" ht="13.8" thickBot="1" x14ac:dyDescent="0.3">
      <c r="B207" s="72"/>
      <c r="C207" s="72" t="s">
        <v>196</v>
      </c>
      <c r="D207" s="72"/>
      <c r="E207" s="72"/>
      <c r="F207" s="119"/>
      <c r="G207" s="74" t="s">
        <v>20</v>
      </c>
      <c r="H207" s="99"/>
      <c r="I207" s="73" t="s">
        <v>5</v>
      </c>
      <c r="J207" s="79">
        <f t="shared" ref="J207:J213" si="17">F207*H207</f>
        <v>0</v>
      </c>
      <c r="K207" s="72" t="s">
        <v>14</v>
      </c>
      <c r="L207" s="79"/>
      <c r="M207" s="79"/>
    </row>
    <row r="208" spans="1:26" ht="13.8" thickBot="1" x14ac:dyDescent="0.3">
      <c r="B208" s="72"/>
      <c r="C208" s="72" t="s">
        <v>326</v>
      </c>
      <c r="D208" s="72"/>
      <c r="E208" s="72"/>
      <c r="F208" s="119"/>
      <c r="G208" s="74" t="s">
        <v>20</v>
      </c>
      <c r="H208" s="99"/>
      <c r="I208" s="73" t="s">
        <v>5</v>
      </c>
      <c r="J208" s="79">
        <f t="shared" si="17"/>
        <v>0</v>
      </c>
      <c r="K208" s="72" t="s">
        <v>14</v>
      </c>
      <c r="L208" s="79"/>
      <c r="M208" s="79"/>
    </row>
    <row r="209" spans="1:26" x14ac:dyDescent="0.25">
      <c r="B209" s="72"/>
      <c r="C209" s="72"/>
      <c r="D209" s="72"/>
      <c r="E209" s="72"/>
      <c r="F209" s="212"/>
      <c r="G209" s="74"/>
      <c r="H209" s="213"/>
      <c r="I209" s="73"/>
      <c r="J209" s="79"/>
      <c r="K209" s="72"/>
      <c r="L209" s="79"/>
      <c r="M209" s="79"/>
    </row>
    <row r="210" spans="1:26" ht="13.8" thickBot="1" x14ac:dyDescent="0.3">
      <c r="B210" s="214" t="s">
        <v>358</v>
      </c>
      <c r="C210" s="72"/>
      <c r="D210" s="72"/>
      <c r="E210" s="72"/>
      <c r="F210" s="212"/>
      <c r="G210" s="74"/>
      <c r="H210" s="213"/>
      <c r="I210" s="73"/>
      <c r="J210" s="79"/>
      <c r="K210" s="72"/>
      <c r="L210" s="79"/>
      <c r="M210" s="79"/>
    </row>
    <row r="211" spans="1:26" ht="13.8" thickBot="1" x14ac:dyDescent="0.3">
      <c r="B211" s="72"/>
      <c r="C211" s="72" t="s">
        <v>326</v>
      </c>
      <c r="D211" s="72"/>
      <c r="E211" s="72"/>
      <c r="F211" s="119"/>
      <c r="G211" s="74"/>
      <c r="H211" s="119"/>
      <c r="I211" s="73"/>
      <c r="J211" s="79">
        <f t="shared" si="17"/>
        <v>0</v>
      </c>
      <c r="K211" s="72" t="s">
        <v>14</v>
      </c>
      <c r="L211" s="79"/>
      <c r="M211" s="79"/>
    </row>
    <row r="212" spans="1:26" ht="13.8" thickBot="1" x14ac:dyDescent="0.3">
      <c r="B212" s="72"/>
      <c r="C212" s="72" t="s">
        <v>326</v>
      </c>
      <c r="D212" s="72"/>
      <c r="E212" s="72"/>
      <c r="F212" s="119"/>
      <c r="G212" s="74"/>
      <c r="H212" s="119"/>
      <c r="I212" s="73"/>
      <c r="J212" s="79">
        <f t="shared" si="17"/>
        <v>0</v>
      </c>
      <c r="K212" s="72" t="s">
        <v>14</v>
      </c>
      <c r="L212" s="79"/>
      <c r="M212" s="79"/>
    </row>
    <row r="213" spans="1:26" ht="13.8" thickBot="1" x14ac:dyDescent="0.3">
      <c r="B213" s="72"/>
      <c r="C213" s="72" t="s">
        <v>326</v>
      </c>
      <c r="D213" s="72"/>
      <c r="E213" s="72"/>
      <c r="F213" s="119"/>
      <c r="G213" s="74"/>
      <c r="H213" s="119"/>
      <c r="I213" s="73"/>
      <c r="J213" s="79">
        <f t="shared" si="17"/>
        <v>0</v>
      </c>
      <c r="K213" s="72" t="s">
        <v>14</v>
      </c>
      <c r="L213" s="79"/>
      <c r="M213" s="79"/>
    </row>
    <row r="214" spans="1:26" s="8" customFormat="1" x14ac:dyDescent="0.25">
      <c r="A214" s="586"/>
      <c r="B214" s="241"/>
      <c r="C214" s="241" t="s">
        <v>16</v>
      </c>
      <c r="D214" s="241"/>
      <c r="E214" s="241"/>
      <c r="F214" s="273"/>
      <c r="G214" s="242"/>
      <c r="H214" s="273"/>
      <c r="I214" s="243"/>
      <c r="J214" s="241">
        <f>SUM(J206:J213)</f>
        <v>24.397500000000001</v>
      </c>
      <c r="K214" s="241" t="s">
        <v>14</v>
      </c>
      <c r="L214" s="241"/>
      <c r="M214" s="241"/>
      <c r="N214"/>
      <c r="O214"/>
      <c r="P214"/>
      <c r="Q214"/>
      <c r="R214"/>
      <c r="S214"/>
      <c r="T214"/>
      <c r="U214"/>
      <c r="Y214"/>
      <c r="Z214"/>
    </row>
    <row r="215" spans="1:26" x14ac:dyDescent="0.25">
      <c r="B215" s="72"/>
      <c r="C215" s="72"/>
      <c r="D215" s="72"/>
      <c r="E215" s="72"/>
      <c r="F215" s="74"/>
      <c r="G215" s="74"/>
      <c r="H215" s="73"/>
      <c r="I215" s="73"/>
      <c r="J215" s="79"/>
      <c r="K215" s="72"/>
      <c r="L215" s="79"/>
      <c r="M215" s="79"/>
      <c r="N215" s="8"/>
      <c r="O215" s="8"/>
      <c r="P215" s="8"/>
      <c r="Q215" s="8"/>
      <c r="R215" s="8"/>
      <c r="S215" s="8"/>
      <c r="T215" s="8"/>
      <c r="U215" s="8"/>
      <c r="Y215" s="8"/>
      <c r="Z215" s="8"/>
    </row>
    <row r="216" spans="1:26" ht="42" customHeight="1" x14ac:dyDescent="0.25">
      <c r="B216" s="534"/>
      <c r="C216" s="534"/>
      <c r="D216" s="534"/>
      <c r="E216" s="534"/>
      <c r="F216" s="534"/>
      <c r="G216" s="534"/>
      <c r="H216" s="534"/>
      <c r="I216" s="534"/>
      <c r="J216" s="534"/>
      <c r="K216" s="534"/>
      <c r="L216" s="534"/>
      <c r="M216" s="534"/>
    </row>
    <row r="217" spans="1:26" ht="15.6" x14ac:dyDescent="0.3">
      <c r="B217" s="219" t="s">
        <v>549</v>
      </c>
      <c r="C217" s="220"/>
      <c r="D217" s="220"/>
      <c r="E217" s="220"/>
      <c r="F217" s="964" t="s">
        <v>159</v>
      </c>
      <c r="G217" s="964"/>
      <c r="H217" s="964" t="s">
        <v>158</v>
      </c>
      <c r="I217" s="964"/>
      <c r="J217" s="964" t="s">
        <v>273</v>
      </c>
      <c r="K217" s="964"/>
      <c r="L217" s="222"/>
      <c r="M217" s="222"/>
    </row>
    <row r="218" spans="1:26" ht="13.8" thickBot="1" x14ac:dyDescent="0.3">
      <c r="B218" s="220"/>
      <c r="C218" s="220"/>
      <c r="D218" s="220"/>
      <c r="E218" s="220"/>
      <c r="F218" s="220"/>
      <c r="G218" s="220"/>
      <c r="H218" s="221"/>
      <c r="I218" s="221"/>
      <c r="J218" s="222"/>
      <c r="K218" s="222"/>
      <c r="L218" s="222"/>
      <c r="M218" s="222"/>
    </row>
    <row r="219" spans="1:26" ht="13.8" thickBot="1" x14ac:dyDescent="0.3">
      <c r="B219" s="220"/>
      <c r="C219" s="220" t="s">
        <v>294</v>
      </c>
      <c r="D219" s="222"/>
      <c r="E219" s="220"/>
      <c r="F219" s="96"/>
      <c r="G219" s="220" t="s">
        <v>0</v>
      </c>
      <c r="H219" s="99"/>
      <c r="I219" s="221" t="s">
        <v>14</v>
      </c>
      <c r="J219" s="223">
        <f t="shared" ref="J219:J221" si="18">F219*H219</f>
        <v>0</v>
      </c>
      <c r="K219" s="220" t="s">
        <v>14</v>
      </c>
      <c r="L219" s="222"/>
      <c r="M219" s="222"/>
    </row>
    <row r="220" spans="1:26" ht="13.8" thickBot="1" x14ac:dyDescent="0.3">
      <c r="B220" s="220"/>
      <c r="C220" s="220" t="s">
        <v>294</v>
      </c>
      <c r="D220" s="220"/>
      <c r="E220" s="220"/>
      <c r="F220" s="96"/>
      <c r="G220" s="220" t="s">
        <v>0</v>
      </c>
      <c r="H220" s="99"/>
      <c r="I220" s="221" t="s">
        <v>14</v>
      </c>
      <c r="J220" s="223">
        <f t="shared" si="18"/>
        <v>0</v>
      </c>
      <c r="K220" s="220" t="s">
        <v>14</v>
      </c>
      <c r="L220" s="222"/>
      <c r="M220" s="222"/>
    </row>
    <row r="221" spans="1:26" ht="13.8" thickBot="1" x14ac:dyDescent="0.3">
      <c r="B221" s="220"/>
      <c r="C221" s="220" t="s">
        <v>294</v>
      </c>
      <c r="D221" s="220"/>
      <c r="E221" s="220"/>
      <c r="F221" s="96"/>
      <c r="G221" s="220" t="s">
        <v>0</v>
      </c>
      <c r="H221" s="99"/>
      <c r="I221" s="221" t="s">
        <v>14</v>
      </c>
      <c r="J221" s="223">
        <f t="shared" si="18"/>
        <v>0</v>
      </c>
      <c r="K221" s="220" t="s">
        <v>14</v>
      </c>
      <c r="L221" s="222"/>
      <c r="M221" s="222"/>
    </row>
    <row r="222" spans="1:26" s="8" customFormat="1" x14ac:dyDescent="0.25">
      <c r="A222" s="586"/>
      <c r="B222" s="255"/>
      <c r="C222" s="255" t="s">
        <v>196</v>
      </c>
      <c r="D222" s="255"/>
      <c r="E222" s="255"/>
      <c r="F222" s="256"/>
      <c r="G222" s="255"/>
      <c r="H222" s="257"/>
      <c r="I222" s="258"/>
      <c r="J222" s="259">
        <f>SUM(J219:J221)</f>
        <v>0</v>
      </c>
      <c r="K222" s="255" t="s">
        <v>14</v>
      </c>
      <c r="L222" s="255"/>
      <c r="M222" s="255"/>
      <c r="N222"/>
      <c r="O222"/>
      <c r="P222"/>
      <c r="Q222"/>
      <c r="R222"/>
      <c r="S222"/>
      <c r="T222"/>
      <c r="U222"/>
      <c r="Y222"/>
      <c r="Z222"/>
    </row>
    <row r="223" spans="1:26" x14ac:dyDescent="0.25">
      <c r="B223" s="220"/>
      <c r="C223" s="220"/>
      <c r="D223" s="220"/>
      <c r="E223" s="220"/>
      <c r="F223" s="220"/>
      <c r="G223" s="220"/>
      <c r="H223" s="221"/>
      <c r="I223" s="221"/>
      <c r="J223" s="223"/>
      <c r="K223" s="220"/>
      <c r="L223" s="222"/>
      <c r="M223" s="222"/>
      <c r="N223" s="8"/>
      <c r="O223" s="8"/>
      <c r="P223" s="8"/>
      <c r="Q223" s="8"/>
      <c r="R223" s="8"/>
      <c r="S223" s="8"/>
      <c r="T223" s="8"/>
      <c r="U223" s="8"/>
      <c r="Y223" s="8"/>
      <c r="Z223" s="8"/>
    </row>
    <row r="224" spans="1:26" ht="33" customHeight="1" x14ac:dyDescent="0.25">
      <c r="B224" s="534"/>
      <c r="C224" s="534"/>
      <c r="D224" s="534"/>
      <c r="E224" s="534"/>
      <c r="F224" s="534"/>
      <c r="G224" s="534"/>
      <c r="H224" s="534"/>
      <c r="I224" s="534"/>
      <c r="J224" s="534"/>
      <c r="K224" s="534"/>
      <c r="L224" s="534"/>
      <c r="M224" s="534"/>
    </row>
    <row r="225" spans="1:26" ht="15.6" x14ac:dyDescent="0.3">
      <c r="B225" s="225" t="s">
        <v>550</v>
      </c>
      <c r="C225" s="226"/>
      <c r="D225" s="226"/>
      <c r="E225" s="227"/>
      <c r="F225" s="226" t="s">
        <v>159</v>
      </c>
      <c r="G225" s="228"/>
      <c r="H225" s="228" t="s">
        <v>158</v>
      </c>
      <c r="I225" s="226"/>
      <c r="J225" s="226"/>
      <c r="K225" s="229"/>
      <c r="L225" s="229"/>
      <c r="M225" s="229"/>
    </row>
    <row r="226" spans="1:26" ht="16.2" thickBot="1" x14ac:dyDescent="0.35">
      <c r="B226" s="225"/>
      <c r="C226" s="226"/>
      <c r="D226" s="226"/>
      <c r="E226" s="227"/>
      <c r="F226" s="226"/>
      <c r="G226" s="228"/>
      <c r="H226" s="228"/>
      <c r="I226" s="226"/>
      <c r="J226" s="226"/>
      <c r="K226" s="229"/>
      <c r="L226" s="229"/>
      <c r="M226" s="229"/>
    </row>
    <row r="227" spans="1:26" ht="13.8" thickBot="1" x14ac:dyDescent="0.3">
      <c r="B227" s="226"/>
      <c r="C227" s="226" t="s">
        <v>296</v>
      </c>
      <c r="D227" s="229"/>
      <c r="E227" s="230"/>
      <c r="F227" s="96"/>
      <c r="G227" s="231" t="s">
        <v>18</v>
      </c>
      <c r="H227" s="96"/>
      <c r="I227" s="232" t="s">
        <v>10</v>
      </c>
      <c r="J227" s="229">
        <f>H227*F227</f>
        <v>0</v>
      </c>
      <c r="K227" s="232" t="s">
        <v>14</v>
      </c>
      <c r="L227" s="229"/>
      <c r="M227" s="229"/>
    </row>
    <row r="228" spans="1:26" ht="13.8" thickBot="1" x14ac:dyDescent="0.3">
      <c r="B228" s="226"/>
      <c r="C228" s="226" t="s">
        <v>464</v>
      </c>
      <c r="D228" s="232">
        <f>F253/2</f>
        <v>29</v>
      </c>
      <c r="E228" s="226" t="s">
        <v>9</v>
      </c>
      <c r="F228" s="96">
        <f>+D228*8</f>
        <v>232</v>
      </c>
      <c r="G228" s="228" t="s">
        <v>20</v>
      </c>
      <c r="H228" s="96">
        <v>0.83</v>
      </c>
      <c r="I228" s="232" t="s">
        <v>5</v>
      </c>
      <c r="J228" s="229">
        <f>H228*F228</f>
        <v>192.56</v>
      </c>
      <c r="K228" s="232" t="s">
        <v>14</v>
      </c>
      <c r="L228" s="229"/>
      <c r="M228" s="229"/>
    </row>
    <row r="229" spans="1:26" ht="13.8" thickBot="1" x14ac:dyDescent="0.3">
      <c r="B229" s="226"/>
      <c r="C229" s="226" t="s">
        <v>298</v>
      </c>
      <c r="D229" s="232">
        <f>D228</f>
        <v>29</v>
      </c>
      <c r="E229" s="226" t="s">
        <v>9</v>
      </c>
      <c r="F229" s="96">
        <v>11.88</v>
      </c>
      <c r="G229" s="228" t="s">
        <v>21</v>
      </c>
      <c r="H229" s="96">
        <v>4</v>
      </c>
      <c r="I229" s="232" t="s">
        <v>6</v>
      </c>
      <c r="J229" s="229">
        <f t="shared" ref="J229:J233" si="19">H229*F229</f>
        <v>47.52</v>
      </c>
      <c r="K229" s="232" t="s">
        <v>14</v>
      </c>
      <c r="L229" s="229"/>
      <c r="M229" s="229"/>
    </row>
    <row r="230" spans="1:26" ht="13.8" thickBot="1" x14ac:dyDescent="0.3">
      <c r="B230" s="226"/>
      <c r="C230" s="226" t="s">
        <v>19</v>
      </c>
      <c r="D230" s="229"/>
      <c r="E230" s="232"/>
      <c r="F230" s="96">
        <v>200</v>
      </c>
      <c r="G230" s="228" t="s">
        <v>20</v>
      </c>
      <c r="H230" s="96">
        <v>1.53</v>
      </c>
      <c r="I230" s="232" t="s">
        <v>5</v>
      </c>
      <c r="J230" s="229">
        <f t="shared" si="19"/>
        <v>306</v>
      </c>
      <c r="K230" s="232" t="s">
        <v>14</v>
      </c>
      <c r="L230" s="229"/>
      <c r="M230" s="229"/>
    </row>
    <row r="231" spans="1:26" ht="13.8" thickBot="1" x14ac:dyDescent="0.3">
      <c r="B231" s="226"/>
      <c r="C231" s="226" t="s">
        <v>299</v>
      </c>
      <c r="D231" s="229"/>
      <c r="E231" s="232"/>
      <c r="F231" s="96">
        <v>1.48</v>
      </c>
      <c r="G231" s="228" t="s">
        <v>20</v>
      </c>
      <c r="H231" s="96">
        <v>1.6</v>
      </c>
      <c r="I231" s="232" t="s">
        <v>5</v>
      </c>
      <c r="J231" s="229">
        <f t="shared" si="19"/>
        <v>2.3679999999999999</v>
      </c>
      <c r="K231" s="232" t="s">
        <v>14</v>
      </c>
      <c r="L231" s="229"/>
      <c r="M231" s="229"/>
    </row>
    <row r="232" spans="1:26" ht="13.8" thickBot="1" x14ac:dyDescent="0.3">
      <c r="B232" s="226"/>
      <c r="C232" s="226" t="s">
        <v>300</v>
      </c>
      <c r="D232" s="229"/>
      <c r="E232" s="232"/>
      <c r="F232" s="96"/>
      <c r="G232" s="228"/>
      <c r="H232" s="96"/>
      <c r="I232" s="232"/>
      <c r="J232" s="229">
        <f t="shared" si="19"/>
        <v>0</v>
      </c>
      <c r="K232" s="232" t="s">
        <v>14</v>
      </c>
      <c r="L232" s="229"/>
      <c r="M232" s="229"/>
    </row>
    <row r="233" spans="1:26" ht="13.8" thickBot="1" x14ac:dyDescent="0.3">
      <c r="B233" s="229"/>
      <c r="C233" s="226" t="s">
        <v>300</v>
      </c>
      <c r="D233" s="229"/>
      <c r="E233" s="229"/>
      <c r="F233" s="96"/>
      <c r="G233" s="229"/>
      <c r="H233" s="96"/>
      <c r="I233" s="229"/>
      <c r="J233" s="229">
        <f t="shared" si="19"/>
        <v>0</v>
      </c>
      <c r="K233" s="232" t="s">
        <v>14</v>
      </c>
      <c r="L233" s="229"/>
      <c r="M233" s="229"/>
    </row>
    <row r="234" spans="1:26" s="8" customFormat="1" x14ac:dyDescent="0.25">
      <c r="A234" s="586"/>
      <c r="B234" s="260"/>
      <c r="C234" s="260" t="s">
        <v>196</v>
      </c>
      <c r="D234" s="260"/>
      <c r="E234" s="260"/>
      <c r="F234" s="261"/>
      <c r="G234" s="260"/>
      <c r="H234" s="261"/>
      <c r="I234" s="260"/>
      <c r="J234" s="260">
        <f>SUM(J227:J233)</f>
        <v>548.44800000000009</v>
      </c>
      <c r="K234" s="262" t="s">
        <v>14</v>
      </c>
      <c r="L234" s="260"/>
      <c r="M234" s="260"/>
      <c r="N234"/>
      <c r="O234"/>
      <c r="P234"/>
      <c r="Q234"/>
      <c r="R234"/>
      <c r="S234"/>
      <c r="T234"/>
      <c r="U234"/>
      <c r="Y234"/>
      <c r="Z234"/>
    </row>
    <row r="235" spans="1:26" x14ac:dyDescent="0.25">
      <c r="B235" s="229"/>
      <c r="C235" s="229"/>
      <c r="D235" s="229"/>
      <c r="E235" s="229"/>
      <c r="F235" s="229"/>
      <c r="G235" s="229"/>
      <c r="H235" s="229"/>
      <c r="I235" s="229"/>
      <c r="J235" s="229"/>
      <c r="K235" s="229"/>
      <c r="L235" s="229"/>
      <c r="M235" s="229"/>
      <c r="N235" s="8"/>
      <c r="O235" s="8"/>
      <c r="P235" s="8"/>
      <c r="Q235" s="8"/>
      <c r="R235" s="8"/>
      <c r="S235" s="8"/>
      <c r="T235" s="8"/>
      <c r="U235" s="8"/>
      <c r="Y235" s="8"/>
      <c r="Z235" s="8"/>
    </row>
    <row r="236" spans="1:26" ht="37.950000000000003" customHeight="1" x14ac:dyDescent="0.25">
      <c r="B236" s="534"/>
      <c r="C236" s="534"/>
      <c r="D236" s="534"/>
      <c r="E236" s="534"/>
      <c r="F236" s="534"/>
      <c r="G236" s="534"/>
      <c r="H236" s="534"/>
      <c r="I236" s="534"/>
      <c r="J236" s="534"/>
      <c r="K236" s="534"/>
      <c r="L236" s="534"/>
      <c r="M236" s="534"/>
    </row>
    <row r="237" spans="1:26" ht="22.05" customHeight="1" x14ac:dyDescent="0.3">
      <c r="B237" s="112" t="s">
        <v>551</v>
      </c>
      <c r="C237" s="101"/>
      <c r="D237" s="101"/>
      <c r="E237" s="101"/>
      <c r="F237" s="101"/>
      <c r="G237" s="101"/>
      <c r="H237" s="101"/>
      <c r="I237" s="101"/>
      <c r="J237" s="101"/>
      <c r="K237" s="101"/>
      <c r="L237" s="101"/>
      <c r="M237" s="101"/>
    </row>
    <row r="238" spans="1:26" ht="12" customHeight="1" x14ac:dyDescent="0.3">
      <c r="B238" s="112"/>
      <c r="C238" s="101"/>
      <c r="D238" s="101"/>
      <c r="E238" s="101"/>
      <c r="F238" s="101"/>
      <c r="G238" s="101"/>
      <c r="H238" s="101"/>
      <c r="I238" s="101"/>
      <c r="J238" s="101"/>
      <c r="K238" s="101"/>
      <c r="L238" s="101"/>
      <c r="M238" s="101"/>
    </row>
    <row r="239" spans="1:26" ht="40.049999999999997" customHeight="1" x14ac:dyDescent="0.25">
      <c r="B239" s="961" t="s">
        <v>302</v>
      </c>
      <c r="C239" s="961"/>
      <c r="D239" s="961"/>
      <c r="E239" s="961"/>
      <c r="F239" s="961"/>
      <c r="G239" s="961"/>
      <c r="H239" s="961"/>
      <c r="I239" s="961"/>
      <c r="J239" s="961"/>
      <c r="K239" s="961"/>
      <c r="L239" s="961"/>
      <c r="M239" s="961"/>
    </row>
    <row r="240" spans="1:26" ht="22.05" customHeight="1" x14ac:dyDescent="0.3">
      <c r="B240" s="112"/>
      <c r="C240" s="101"/>
      <c r="D240" s="101"/>
      <c r="E240" s="834"/>
      <c r="F240" s="834"/>
      <c r="G240" s="834"/>
      <c r="H240" s="835"/>
      <c r="I240" s="835"/>
      <c r="J240" s="834"/>
      <c r="K240" s="834"/>
      <c r="L240" s="835"/>
      <c r="M240" s="835"/>
    </row>
    <row r="241" spans="1:26" ht="22.05" customHeight="1" x14ac:dyDescent="0.3">
      <c r="B241" s="112"/>
      <c r="C241" s="101"/>
      <c r="D241" s="101"/>
      <c r="E241" s="962" t="s">
        <v>303</v>
      </c>
      <c r="F241" s="962"/>
      <c r="G241" s="962"/>
      <c r="H241" s="963" t="s">
        <v>158</v>
      </c>
      <c r="I241" s="963"/>
      <c r="J241" s="963" t="s">
        <v>304</v>
      </c>
      <c r="K241" s="963"/>
      <c r="L241" s="963" t="s">
        <v>158</v>
      </c>
      <c r="M241" s="963"/>
    </row>
    <row r="242" spans="1:26" ht="10.95" customHeight="1" thickBot="1" x14ac:dyDescent="0.3">
      <c r="B242" s="100"/>
      <c r="C242" s="101"/>
      <c r="D242" s="101"/>
      <c r="E242" s="101"/>
      <c r="F242" s="101"/>
      <c r="G242" s="101"/>
      <c r="H242" s="101"/>
      <c r="I242" s="101"/>
      <c r="J242" s="101"/>
      <c r="K242" s="101"/>
      <c r="L242" s="101"/>
      <c r="M242" s="101"/>
    </row>
    <row r="243" spans="1:26" ht="13.8" thickBot="1" x14ac:dyDescent="0.3">
      <c r="B243" s="101"/>
      <c r="C243" s="102" t="s">
        <v>323</v>
      </c>
      <c r="D243" s="101"/>
      <c r="E243" s="101"/>
      <c r="F243" s="115">
        <v>2</v>
      </c>
      <c r="G243" s="104" t="s">
        <v>22</v>
      </c>
      <c r="H243" s="114">
        <f t="shared" ref="H243:H252" si="20">$H$163</f>
        <v>14.5</v>
      </c>
      <c r="I243" s="104" t="s">
        <v>11</v>
      </c>
      <c r="J243" s="116"/>
      <c r="K243" s="104" t="s">
        <v>22</v>
      </c>
      <c r="L243" s="114">
        <f t="shared" ref="L243:L252" si="21">$L$163</f>
        <v>14.5</v>
      </c>
      <c r="M243" s="104" t="s">
        <v>11</v>
      </c>
    </row>
    <row r="244" spans="1:26" ht="13.8" thickBot="1" x14ac:dyDescent="0.3">
      <c r="B244" s="101"/>
      <c r="C244" s="102" t="s">
        <v>552</v>
      </c>
      <c r="D244" s="101"/>
      <c r="E244" s="101"/>
      <c r="F244" s="115">
        <v>5</v>
      </c>
      <c r="G244" s="104" t="s">
        <v>22</v>
      </c>
      <c r="H244" s="114">
        <f t="shared" si="20"/>
        <v>14.5</v>
      </c>
      <c r="I244" s="104" t="s">
        <v>11</v>
      </c>
      <c r="J244" s="116"/>
      <c r="K244" s="104" t="s">
        <v>22</v>
      </c>
      <c r="L244" s="114">
        <f t="shared" si="21"/>
        <v>14.5</v>
      </c>
      <c r="M244" s="104" t="s">
        <v>11</v>
      </c>
    </row>
    <row r="245" spans="1:26" ht="13.8" thickBot="1" x14ac:dyDescent="0.3">
      <c r="B245" s="101"/>
      <c r="C245" s="102" t="s">
        <v>553</v>
      </c>
      <c r="D245" s="101"/>
      <c r="E245" s="101"/>
      <c r="F245" s="115">
        <v>1</v>
      </c>
      <c r="G245" s="104" t="s">
        <v>22</v>
      </c>
      <c r="H245" s="114">
        <f t="shared" si="20"/>
        <v>14.5</v>
      </c>
      <c r="I245" s="104" t="s">
        <v>11</v>
      </c>
      <c r="J245" s="116"/>
      <c r="K245" s="104" t="s">
        <v>22</v>
      </c>
      <c r="L245" s="114">
        <f t="shared" si="21"/>
        <v>14.5</v>
      </c>
      <c r="M245" s="104" t="s">
        <v>11</v>
      </c>
    </row>
    <row r="246" spans="1:26" ht="13.8" thickBot="1" x14ac:dyDescent="0.3">
      <c r="B246" s="101"/>
      <c r="C246" s="102" t="s">
        <v>427</v>
      </c>
      <c r="D246" s="101"/>
      <c r="E246" s="101"/>
      <c r="F246" s="115">
        <v>20</v>
      </c>
      <c r="G246" s="104" t="s">
        <v>22</v>
      </c>
      <c r="H246" s="114">
        <f t="shared" si="20"/>
        <v>14.5</v>
      </c>
      <c r="I246" s="104" t="s">
        <v>11</v>
      </c>
      <c r="J246" s="116">
        <v>40</v>
      </c>
      <c r="K246" s="104" t="s">
        <v>22</v>
      </c>
      <c r="L246" s="114">
        <f t="shared" si="21"/>
        <v>14.5</v>
      </c>
      <c r="M246" s="104" t="s">
        <v>11</v>
      </c>
    </row>
    <row r="247" spans="1:26" ht="13.8" thickBot="1" x14ac:dyDescent="0.3">
      <c r="B247" s="101"/>
      <c r="C247" s="102" t="s">
        <v>317</v>
      </c>
      <c r="D247" s="101"/>
      <c r="E247" s="101"/>
      <c r="F247" s="115"/>
      <c r="G247" s="104" t="s">
        <v>22</v>
      </c>
      <c r="H247" s="114">
        <f t="shared" si="20"/>
        <v>14.5</v>
      </c>
      <c r="I247" s="104" t="s">
        <v>11</v>
      </c>
      <c r="J247" s="116"/>
      <c r="K247" s="104" t="s">
        <v>22</v>
      </c>
      <c r="L247" s="114">
        <f t="shared" si="21"/>
        <v>14.5</v>
      </c>
      <c r="M247" s="104" t="s">
        <v>11</v>
      </c>
    </row>
    <row r="248" spans="1:26" ht="13.8" thickBot="1" x14ac:dyDescent="0.3">
      <c r="B248" s="101"/>
      <c r="C248" s="102" t="s">
        <v>515</v>
      </c>
      <c r="D248" s="101"/>
      <c r="E248" s="101"/>
      <c r="F248" s="115">
        <v>10</v>
      </c>
      <c r="G248" s="104" t="s">
        <v>22</v>
      </c>
      <c r="H248" s="114">
        <f t="shared" si="20"/>
        <v>14.5</v>
      </c>
      <c r="I248" s="104" t="s">
        <v>11</v>
      </c>
      <c r="J248" s="116"/>
      <c r="K248" s="104" t="s">
        <v>22</v>
      </c>
      <c r="L248" s="114">
        <f t="shared" si="21"/>
        <v>14.5</v>
      </c>
      <c r="M248" s="104" t="s">
        <v>11</v>
      </c>
    </row>
    <row r="249" spans="1:26" ht="13.8" thickBot="1" x14ac:dyDescent="0.3">
      <c r="B249" s="101"/>
      <c r="C249" s="102" t="s">
        <v>429</v>
      </c>
      <c r="D249" s="101"/>
      <c r="E249" s="101"/>
      <c r="F249" s="116">
        <v>20</v>
      </c>
      <c r="G249" s="104" t="s">
        <v>22</v>
      </c>
      <c r="H249" s="114">
        <f t="shared" si="20"/>
        <v>14.5</v>
      </c>
      <c r="I249" s="104" t="s">
        <v>11</v>
      </c>
      <c r="J249" s="116"/>
      <c r="K249" s="104" t="s">
        <v>22</v>
      </c>
      <c r="L249" s="114">
        <f t="shared" si="21"/>
        <v>14.5</v>
      </c>
      <c r="M249" s="104" t="s">
        <v>11</v>
      </c>
    </row>
    <row r="250" spans="1:26" ht="13.8" thickBot="1" x14ac:dyDescent="0.3">
      <c r="B250" s="101"/>
      <c r="C250" s="102" t="s">
        <v>431</v>
      </c>
      <c r="D250" s="101"/>
      <c r="E250" s="101"/>
      <c r="F250" s="116"/>
      <c r="G250" s="104" t="s">
        <v>22</v>
      </c>
      <c r="H250" s="114">
        <f t="shared" si="20"/>
        <v>14.5</v>
      </c>
      <c r="I250" s="104" t="s">
        <v>11</v>
      </c>
      <c r="J250" s="97"/>
      <c r="K250" s="104" t="s">
        <v>22</v>
      </c>
      <c r="L250" s="114">
        <f t="shared" si="21"/>
        <v>14.5</v>
      </c>
      <c r="M250" s="104" t="s">
        <v>11</v>
      </c>
    </row>
    <row r="251" spans="1:26" ht="13.8" thickBot="1" x14ac:dyDescent="0.3">
      <c r="B251" s="101"/>
      <c r="C251" s="102" t="s">
        <v>431</v>
      </c>
      <c r="D251" s="101"/>
      <c r="E251" s="101"/>
      <c r="F251" s="116"/>
      <c r="G251" s="104" t="s">
        <v>22</v>
      </c>
      <c r="H251" s="114">
        <f t="shared" si="20"/>
        <v>14.5</v>
      </c>
      <c r="I251" s="104" t="s">
        <v>11</v>
      </c>
      <c r="J251" s="97"/>
      <c r="K251" s="104" t="s">
        <v>22</v>
      </c>
      <c r="L251" s="114">
        <f t="shared" si="21"/>
        <v>14.5</v>
      </c>
      <c r="M251" s="104" t="s">
        <v>11</v>
      </c>
    </row>
    <row r="252" spans="1:26" ht="13.8" thickBot="1" x14ac:dyDescent="0.3">
      <c r="B252" s="101"/>
      <c r="C252" s="102" t="s">
        <v>431</v>
      </c>
      <c r="D252" s="103"/>
      <c r="E252" s="103"/>
      <c r="F252" s="97"/>
      <c r="G252" s="104" t="s">
        <v>22</v>
      </c>
      <c r="H252" s="114">
        <f t="shared" si="20"/>
        <v>14.5</v>
      </c>
      <c r="I252" s="104" t="s">
        <v>11</v>
      </c>
      <c r="J252" s="97"/>
      <c r="K252" s="104" t="s">
        <v>22</v>
      </c>
      <c r="L252" s="114">
        <f t="shared" si="21"/>
        <v>14.5</v>
      </c>
      <c r="M252" s="104" t="s">
        <v>11</v>
      </c>
    </row>
    <row r="253" spans="1:26" s="8" customFormat="1" x14ac:dyDescent="0.25">
      <c r="A253" s="586"/>
      <c r="B253" s="264"/>
      <c r="C253" s="265" t="s">
        <v>196</v>
      </c>
      <c r="D253" s="266"/>
      <c r="E253" s="266"/>
      <c r="F253" s="267">
        <f>SUM(F243:F252)</f>
        <v>58</v>
      </c>
      <c r="G253" s="264" t="s">
        <v>22</v>
      </c>
      <c r="H253" s="268">
        <f>F253*H163</f>
        <v>841</v>
      </c>
      <c r="I253" s="264" t="s">
        <v>14</v>
      </c>
      <c r="J253" s="269">
        <f>SUM(J243:J252)</f>
        <v>40</v>
      </c>
      <c r="K253" s="264" t="s">
        <v>22</v>
      </c>
      <c r="L253" s="268">
        <f>J253*L163</f>
        <v>580</v>
      </c>
      <c r="M253" s="264" t="s">
        <v>14</v>
      </c>
      <c r="N253"/>
      <c r="O253"/>
      <c r="P253"/>
      <c r="Q253"/>
      <c r="R253"/>
      <c r="S253"/>
      <c r="T253"/>
      <c r="U253"/>
      <c r="Y253"/>
      <c r="Z253"/>
    </row>
    <row r="254" spans="1:26" s="8" customFormat="1" ht="70.95" customHeight="1" thickBot="1" x14ac:dyDescent="0.3">
      <c r="A254" s="586"/>
      <c r="B254" s="536"/>
      <c r="C254" s="540"/>
      <c r="D254" s="541"/>
      <c r="E254" s="541"/>
      <c r="F254" s="542"/>
      <c r="G254" s="536"/>
      <c r="H254" s="543"/>
      <c r="I254" s="536"/>
      <c r="J254" s="544"/>
      <c r="K254" s="536"/>
      <c r="L254" s="543"/>
      <c r="M254" s="536"/>
    </row>
    <row r="255" spans="1:26" ht="21" customHeight="1" thickBot="1" x14ac:dyDescent="0.45">
      <c r="B255" s="953" t="s">
        <v>270</v>
      </c>
      <c r="C255" s="954"/>
      <c r="D255" s="954"/>
      <c r="E255" s="955"/>
      <c r="F255" s="534"/>
      <c r="G255" s="534"/>
      <c r="H255" s="534"/>
      <c r="I255" s="534"/>
      <c r="J255" s="856" t="s">
        <v>271</v>
      </c>
      <c r="K255" s="563"/>
      <c r="L255" s="534"/>
      <c r="M255" s="534"/>
      <c r="N255" s="566"/>
      <c r="O255" s="8"/>
      <c r="P255" s="8"/>
      <c r="Q255" s="8"/>
      <c r="R255" s="8"/>
      <c r="S255" s="8"/>
      <c r="T255" s="8"/>
      <c r="U255" s="8"/>
      <c r="Y255" s="8"/>
      <c r="Z255" s="8"/>
    </row>
    <row r="256" spans="1:26" x14ac:dyDescent="0.25">
      <c r="B256" s="534"/>
      <c r="C256" s="534"/>
      <c r="D256" s="534"/>
      <c r="E256" s="534"/>
      <c r="F256" s="534"/>
      <c r="G256" s="534"/>
      <c r="H256" s="534"/>
      <c r="I256" s="534"/>
      <c r="J256" s="534"/>
      <c r="K256" s="534"/>
      <c r="L256" s="534"/>
      <c r="M256" s="534"/>
    </row>
    <row r="257" spans="1:26" ht="15.6" x14ac:dyDescent="0.3">
      <c r="B257" s="120" t="s">
        <v>508</v>
      </c>
      <c r="C257" s="121"/>
      <c r="D257" s="121"/>
      <c r="E257" s="121"/>
      <c r="F257" s="960" t="s">
        <v>159</v>
      </c>
      <c r="G257" s="960"/>
      <c r="H257" s="960" t="s">
        <v>158</v>
      </c>
      <c r="I257" s="960"/>
      <c r="J257" s="960" t="s">
        <v>273</v>
      </c>
      <c r="K257" s="960"/>
      <c r="L257" s="123"/>
      <c r="M257" s="123"/>
    </row>
    <row r="258" spans="1:26" ht="13.8" thickBot="1" x14ac:dyDescent="0.3">
      <c r="B258" s="121"/>
      <c r="C258" s="121"/>
      <c r="D258" s="121"/>
      <c r="E258" s="121"/>
      <c r="F258" s="121"/>
      <c r="G258" s="121"/>
      <c r="H258" s="122"/>
      <c r="I258" s="122"/>
      <c r="J258" s="123"/>
      <c r="K258" s="123"/>
      <c r="L258" s="123"/>
      <c r="M258" s="123"/>
    </row>
    <row r="259" spans="1:26" ht="13.8" thickBot="1" x14ac:dyDescent="0.3">
      <c r="B259" s="121"/>
      <c r="C259" s="121" t="s">
        <v>509</v>
      </c>
      <c r="D259" s="123"/>
      <c r="E259" s="121"/>
      <c r="F259" s="118">
        <v>230</v>
      </c>
      <c r="G259" s="121" t="s">
        <v>21</v>
      </c>
      <c r="H259" s="99">
        <v>1.53</v>
      </c>
      <c r="I259" s="122" t="s">
        <v>6</v>
      </c>
      <c r="J259" s="124">
        <f>F259*H259</f>
        <v>351.90000000000003</v>
      </c>
      <c r="K259" s="121" t="s">
        <v>14</v>
      </c>
      <c r="L259" s="123"/>
      <c r="M259" s="123"/>
    </row>
    <row r="260" spans="1:26" ht="13.8" thickBot="1" x14ac:dyDescent="0.3">
      <c r="B260" s="121"/>
      <c r="C260" s="121" t="s">
        <v>280</v>
      </c>
      <c r="D260" s="123"/>
      <c r="E260" s="121"/>
      <c r="F260" s="118"/>
      <c r="G260" s="121" t="s">
        <v>21</v>
      </c>
      <c r="H260" s="99"/>
      <c r="I260" s="122" t="s">
        <v>6</v>
      </c>
      <c r="J260" s="124">
        <f t="shared" ref="J260:J262" si="22">F260*H260</f>
        <v>0</v>
      </c>
      <c r="K260" s="121" t="s">
        <v>14</v>
      </c>
      <c r="L260" s="123"/>
      <c r="M260" s="123"/>
    </row>
    <row r="261" spans="1:26" ht="13.8" thickBot="1" x14ac:dyDescent="0.3">
      <c r="B261" s="121"/>
      <c r="C261" s="121" t="s">
        <v>280</v>
      </c>
      <c r="D261" s="123"/>
      <c r="E261" s="121"/>
      <c r="F261" s="96"/>
      <c r="G261" s="121" t="s">
        <v>21</v>
      </c>
      <c r="H261" s="99"/>
      <c r="I261" s="122" t="s">
        <v>6</v>
      </c>
      <c r="J261" s="124">
        <f t="shared" si="22"/>
        <v>0</v>
      </c>
      <c r="K261" s="121" t="s">
        <v>14</v>
      </c>
      <c r="L261" s="123"/>
      <c r="M261" s="123"/>
    </row>
    <row r="262" spans="1:26" ht="13.8" thickBot="1" x14ac:dyDescent="0.3">
      <c r="B262" s="121"/>
      <c r="C262" s="121" t="s">
        <v>280</v>
      </c>
      <c r="D262" s="123"/>
      <c r="E262" s="121"/>
      <c r="F262" s="96"/>
      <c r="G262" s="121" t="s">
        <v>21</v>
      </c>
      <c r="H262" s="99"/>
      <c r="I262" s="122" t="s">
        <v>6</v>
      </c>
      <c r="J262" s="124">
        <f t="shared" si="22"/>
        <v>0</v>
      </c>
      <c r="K262" s="121" t="s">
        <v>14</v>
      </c>
      <c r="L262" s="123"/>
      <c r="M262" s="123"/>
    </row>
    <row r="263" spans="1:26" s="8" customFormat="1" x14ac:dyDescent="0.25">
      <c r="A263" s="586"/>
      <c r="B263" s="270"/>
      <c r="C263" s="270" t="s">
        <v>196</v>
      </c>
      <c r="D263" s="270"/>
      <c r="E263" s="270"/>
      <c r="F263" s="270"/>
      <c r="G263" s="270"/>
      <c r="H263" s="270"/>
      <c r="I263" s="271"/>
      <c r="J263" s="272">
        <f>SUM(J259:J262)</f>
        <v>351.90000000000003</v>
      </c>
      <c r="K263" s="270" t="s">
        <v>14</v>
      </c>
      <c r="L263" s="270"/>
      <c r="M263" s="270"/>
      <c r="N263"/>
      <c r="O263"/>
      <c r="P263"/>
      <c r="Q263"/>
      <c r="R263"/>
      <c r="S263"/>
      <c r="T263"/>
      <c r="U263"/>
      <c r="Y263"/>
      <c r="Z263"/>
    </row>
    <row r="264" spans="1:26" x14ac:dyDescent="0.25">
      <c r="B264" s="121"/>
      <c r="C264" s="121"/>
      <c r="D264" s="121"/>
      <c r="E264" s="121"/>
      <c r="F264" s="121"/>
      <c r="G264" s="121"/>
      <c r="H264" s="121"/>
      <c r="I264" s="122"/>
      <c r="J264" s="124"/>
      <c r="K264" s="121"/>
      <c r="L264" s="123"/>
      <c r="M264" s="123"/>
      <c r="N264" s="8"/>
      <c r="O264" s="8"/>
      <c r="P264" s="8"/>
      <c r="Q264" s="8"/>
      <c r="R264" s="8"/>
      <c r="S264" s="8"/>
      <c r="T264" s="8"/>
      <c r="U264" s="8"/>
      <c r="Y264" s="8"/>
      <c r="Z264" s="8"/>
    </row>
    <row r="265" spans="1:26" ht="19.05" customHeight="1" x14ac:dyDescent="0.25">
      <c r="B265" s="534"/>
      <c r="C265" s="534"/>
      <c r="D265" s="534"/>
      <c r="E265" s="534"/>
      <c r="F265" s="534"/>
      <c r="G265" s="534"/>
      <c r="H265" s="534"/>
      <c r="I265" s="534"/>
      <c r="J265" s="534"/>
      <c r="K265" s="534"/>
      <c r="L265" s="534"/>
      <c r="M265" s="534"/>
    </row>
    <row r="266" spans="1:26" ht="15.6" x14ac:dyDescent="0.3">
      <c r="B266" s="109" t="s">
        <v>479</v>
      </c>
      <c r="C266" s="72"/>
      <c r="D266" s="72"/>
      <c r="E266" s="72"/>
      <c r="F266" s="957" t="s">
        <v>159</v>
      </c>
      <c r="G266" s="957"/>
      <c r="H266" s="958" t="s">
        <v>158</v>
      </c>
      <c r="I266" s="958"/>
      <c r="J266" s="957" t="s">
        <v>273</v>
      </c>
      <c r="K266" s="957"/>
      <c r="L266" s="79"/>
      <c r="M266" s="79"/>
    </row>
    <row r="267" spans="1:26" ht="15.6" x14ac:dyDescent="0.3">
      <c r="B267" s="109"/>
      <c r="C267" s="72"/>
      <c r="D267" s="462" t="s">
        <v>364</v>
      </c>
      <c r="E267" s="72"/>
      <c r="F267" s="128"/>
      <c r="G267" s="128"/>
      <c r="H267" s="127"/>
      <c r="I267" s="127"/>
      <c r="J267" s="128"/>
      <c r="K267" s="128"/>
      <c r="L267" s="79"/>
      <c r="M267" s="79"/>
    </row>
    <row r="268" spans="1:26" ht="13.8" thickBot="1" x14ac:dyDescent="0.3">
      <c r="B268" s="214" t="s">
        <v>357</v>
      </c>
      <c r="C268" s="72"/>
      <c r="D268" s="72"/>
      <c r="E268" s="72"/>
      <c r="F268" s="74"/>
      <c r="G268" s="74"/>
      <c r="H268" s="73"/>
      <c r="I268" s="73"/>
      <c r="J268" s="79"/>
      <c r="K268" s="79"/>
      <c r="L268" s="79"/>
      <c r="M268" s="79"/>
    </row>
    <row r="269" spans="1:26" ht="13.8" thickBot="1" x14ac:dyDescent="0.3">
      <c r="B269" s="72"/>
      <c r="C269" s="72" t="s">
        <v>72</v>
      </c>
      <c r="D269" s="79"/>
      <c r="E269" s="72"/>
      <c r="F269" s="119">
        <v>0.2</v>
      </c>
      <c r="G269" s="74" t="s">
        <v>21</v>
      </c>
      <c r="H269" s="99">
        <v>300.7</v>
      </c>
      <c r="I269" s="73" t="s">
        <v>6</v>
      </c>
      <c r="J269" s="79">
        <f>F269*H269</f>
        <v>60.14</v>
      </c>
      <c r="K269" s="72" t="s">
        <v>14</v>
      </c>
      <c r="L269" s="79"/>
      <c r="M269" s="79"/>
    </row>
    <row r="270" spans="1:26" ht="13.8" thickBot="1" x14ac:dyDescent="0.3">
      <c r="B270" s="72"/>
      <c r="C270" s="72" t="s">
        <v>326</v>
      </c>
      <c r="D270" s="72"/>
      <c r="E270" s="72"/>
      <c r="F270" s="119"/>
      <c r="G270" s="74" t="s">
        <v>20</v>
      </c>
      <c r="H270" s="99"/>
      <c r="I270" s="73" t="s">
        <v>5</v>
      </c>
      <c r="J270" s="79">
        <f t="shared" ref="J270:J276" si="23">F270*H270</f>
        <v>0</v>
      </c>
      <c r="K270" s="72" t="s">
        <v>14</v>
      </c>
      <c r="L270" s="79"/>
      <c r="M270" s="79"/>
    </row>
    <row r="271" spans="1:26" ht="13.8" thickBot="1" x14ac:dyDescent="0.3">
      <c r="B271" s="72"/>
      <c r="C271" s="72" t="s">
        <v>326</v>
      </c>
      <c r="D271" s="72"/>
      <c r="E271" s="72"/>
      <c r="F271" s="119"/>
      <c r="G271" s="74" t="s">
        <v>20</v>
      </c>
      <c r="H271" s="99"/>
      <c r="I271" s="73" t="s">
        <v>5</v>
      </c>
      <c r="J271" s="79">
        <f t="shared" si="23"/>
        <v>0</v>
      </c>
      <c r="K271" s="72" t="s">
        <v>14</v>
      </c>
      <c r="L271" s="79"/>
      <c r="M271" s="79"/>
    </row>
    <row r="272" spans="1:26" x14ac:dyDescent="0.25">
      <c r="B272" s="72"/>
      <c r="C272" s="72"/>
      <c r="D272" s="72"/>
      <c r="E272" s="72"/>
      <c r="F272" s="212"/>
      <c r="G272" s="74"/>
      <c r="H272" s="213"/>
      <c r="I272" s="73"/>
      <c r="J272" s="79"/>
      <c r="K272" s="72"/>
      <c r="L272" s="79"/>
      <c r="M272" s="79"/>
    </row>
    <row r="273" spans="1:26" ht="13.8" thickBot="1" x14ac:dyDescent="0.3">
      <c r="B273" s="214" t="s">
        <v>358</v>
      </c>
      <c r="C273" s="72"/>
      <c r="D273" s="72"/>
      <c r="E273" s="72"/>
      <c r="F273" s="212"/>
      <c r="G273" s="74"/>
      <c r="H273" s="213"/>
      <c r="I273" s="73"/>
      <c r="J273" s="79"/>
      <c r="K273" s="72"/>
      <c r="L273" s="79"/>
      <c r="M273" s="79"/>
    </row>
    <row r="274" spans="1:26" ht="13.8" thickBot="1" x14ac:dyDescent="0.3">
      <c r="B274" s="72"/>
      <c r="C274" s="72" t="s">
        <v>326</v>
      </c>
      <c r="D274" s="72"/>
      <c r="E274" s="72"/>
      <c r="F274" s="119"/>
      <c r="G274" s="74"/>
      <c r="H274" s="119"/>
      <c r="I274" s="73"/>
      <c r="J274" s="79">
        <f t="shared" si="23"/>
        <v>0</v>
      </c>
      <c r="K274" s="72" t="s">
        <v>14</v>
      </c>
      <c r="L274" s="79"/>
      <c r="M274" s="79"/>
    </row>
    <row r="275" spans="1:26" ht="13.8" thickBot="1" x14ac:dyDescent="0.3">
      <c r="B275" s="72"/>
      <c r="C275" s="72" t="s">
        <v>326</v>
      </c>
      <c r="D275" s="72"/>
      <c r="E275" s="72"/>
      <c r="F275" s="119"/>
      <c r="G275" s="74"/>
      <c r="H275" s="119"/>
      <c r="I275" s="73"/>
      <c r="J275" s="79">
        <f t="shared" si="23"/>
        <v>0</v>
      </c>
      <c r="K275" s="72" t="s">
        <v>14</v>
      </c>
      <c r="L275" s="79"/>
      <c r="M275" s="79"/>
    </row>
    <row r="276" spans="1:26" ht="13.8" thickBot="1" x14ac:dyDescent="0.3">
      <c r="B276" s="72"/>
      <c r="C276" s="72" t="s">
        <v>326</v>
      </c>
      <c r="D276" s="72"/>
      <c r="E276" s="72"/>
      <c r="F276" s="119"/>
      <c r="G276" s="74"/>
      <c r="H276" s="119"/>
      <c r="I276" s="73"/>
      <c r="J276" s="79">
        <f t="shared" si="23"/>
        <v>0</v>
      </c>
      <c r="K276" s="72" t="s">
        <v>14</v>
      </c>
      <c r="L276" s="79"/>
      <c r="M276" s="79"/>
    </row>
    <row r="277" spans="1:26" s="8" customFormat="1" x14ac:dyDescent="0.25">
      <c r="A277" s="586"/>
      <c r="B277" s="241"/>
      <c r="C277" s="241" t="s">
        <v>196</v>
      </c>
      <c r="D277" s="241"/>
      <c r="E277" s="241"/>
      <c r="F277" s="273"/>
      <c r="G277" s="242"/>
      <c r="H277" s="273"/>
      <c r="I277" s="243"/>
      <c r="J277" s="241">
        <f>SUM(J269:J276)</f>
        <v>60.14</v>
      </c>
      <c r="K277" s="241" t="s">
        <v>14</v>
      </c>
      <c r="L277" s="241"/>
      <c r="M277" s="241"/>
      <c r="N277"/>
      <c r="O277"/>
      <c r="P277"/>
      <c r="Q277"/>
      <c r="R277"/>
      <c r="S277"/>
      <c r="T277"/>
      <c r="U277"/>
      <c r="Y277"/>
      <c r="Z277"/>
    </row>
    <row r="278" spans="1:26" x14ac:dyDescent="0.25">
      <c r="B278" s="72"/>
      <c r="C278" s="72"/>
      <c r="D278" s="72"/>
      <c r="E278" s="72"/>
      <c r="F278" s="74"/>
      <c r="G278" s="74"/>
      <c r="H278" s="73"/>
      <c r="I278" s="73"/>
      <c r="J278" s="79"/>
      <c r="K278" s="72"/>
      <c r="L278" s="79"/>
      <c r="M278" s="79"/>
      <c r="N278" s="8"/>
      <c r="O278" s="8"/>
      <c r="P278" s="8"/>
      <c r="Q278" s="8"/>
      <c r="R278" s="8"/>
      <c r="S278" s="8"/>
      <c r="T278" s="8"/>
      <c r="U278" s="8"/>
      <c r="Y278" s="8"/>
      <c r="Z278" s="8"/>
    </row>
    <row r="279" spans="1:26" ht="16.05" customHeight="1" x14ac:dyDescent="0.25">
      <c r="A279" s="591"/>
      <c r="B279" s="534"/>
      <c r="C279" s="534"/>
      <c r="D279" s="534"/>
      <c r="E279" s="534"/>
      <c r="F279" s="534"/>
      <c r="G279" s="534"/>
      <c r="H279" s="534"/>
      <c r="I279" s="534"/>
      <c r="J279" s="534"/>
      <c r="K279" s="534"/>
      <c r="L279" s="534"/>
      <c r="M279" s="534"/>
    </row>
    <row r="280" spans="1:26" ht="15.6" x14ac:dyDescent="0.3">
      <c r="A280" s="591"/>
      <c r="B280" s="650" t="s">
        <v>437</v>
      </c>
      <c r="C280" s="651"/>
      <c r="D280" s="651"/>
      <c r="E280" s="651"/>
      <c r="F280" s="986" t="s">
        <v>159</v>
      </c>
      <c r="G280" s="986"/>
      <c r="H280" s="986" t="s">
        <v>158</v>
      </c>
      <c r="I280" s="986"/>
      <c r="J280" s="986" t="s">
        <v>273</v>
      </c>
      <c r="K280" s="986"/>
      <c r="L280" s="649"/>
      <c r="M280" s="649"/>
      <c r="N280" s="5"/>
    </row>
    <row r="281" spans="1:26" ht="13.8" thickBot="1" x14ac:dyDescent="0.3">
      <c r="A281" s="591"/>
      <c r="B281" s="651"/>
      <c r="C281" s="651"/>
      <c r="D281" s="651"/>
      <c r="E281" s="651"/>
      <c r="F281" s="651"/>
      <c r="G281" s="651"/>
      <c r="H281" s="652"/>
      <c r="I281" s="652"/>
      <c r="J281" s="649"/>
      <c r="K281" s="649"/>
      <c r="L281" s="649"/>
      <c r="M281" s="649"/>
      <c r="N281" s="5"/>
    </row>
    <row r="282" spans="1:26" ht="13.8" thickBot="1" x14ac:dyDescent="0.3">
      <c r="A282" s="591"/>
      <c r="B282" s="651"/>
      <c r="C282" s="651" t="s">
        <v>438</v>
      </c>
      <c r="D282" s="649"/>
      <c r="E282" s="651"/>
      <c r="F282" s="653">
        <v>5</v>
      </c>
      <c r="G282" s="651" t="s">
        <v>439</v>
      </c>
      <c r="H282" s="654">
        <v>160</v>
      </c>
      <c r="I282" s="652" t="s">
        <v>440</v>
      </c>
      <c r="J282" s="655">
        <v>800</v>
      </c>
      <c r="K282" s="651" t="s">
        <v>14</v>
      </c>
      <c r="L282" s="649"/>
      <c r="M282" s="649"/>
      <c r="N282" s="5"/>
    </row>
    <row r="283" spans="1:26" ht="13.8" thickBot="1" x14ac:dyDescent="0.3">
      <c r="A283" s="591"/>
      <c r="B283" s="651"/>
      <c r="C283" s="651" t="s">
        <v>510</v>
      </c>
      <c r="D283" s="651"/>
      <c r="E283" s="651"/>
      <c r="F283" s="656"/>
      <c r="G283" s="651" t="s">
        <v>0</v>
      </c>
      <c r="H283" s="657"/>
      <c r="I283" s="652" t="s">
        <v>14</v>
      </c>
      <c r="J283" s="655">
        <v>0</v>
      </c>
      <c r="K283" s="651" t="s">
        <v>14</v>
      </c>
      <c r="L283" s="649"/>
      <c r="M283" s="649"/>
      <c r="N283" s="5"/>
    </row>
    <row r="284" spans="1:26" ht="13.8" thickBot="1" x14ac:dyDescent="0.3">
      <c r="A284" s="591"/>
      <c r="B284" s="651"/>
      <c r="C284" s="651" t="s">
        <v>510</v>
      </c>
      <c r="D284" s="651"/>
      <c r="E284" s="651"/>
      <c r="F284" s="656"/>
      <c r="G284" s="651" t="s">
        <v>0</v>
      </c>
      <c r="H284" s="657"/>
      <c r="I284" s="652" t="s">
        <v>14</v>
      </c>
      <c r="J284" s="655">
        <v>0</v>
      </c>
      <c r="K284" s="651" t="s">
        <v>14</v>
      </c>
      <c r="L284" s="649"/>
      <c r="M284" s="649"/>
      <c r="N284" s="5"/>
    </row>
    <row r="285" spans="1:26" x14ac:dyDescent="0.25">
      <c r="A285" s="591"/>
      <c r="B285" s="658"/>
      <c r="C285" s="658" t="s">
        <v>196</v>
      </c>
      <c r="D285" s="658"/>
      <c r="E285" s="658"/>
      <c r="F285" s="658"/>
      <c r="G285" s="658"/>
      <c r="H285" s="659"/>
      <c r="I285" s="659"/>
      <c r="J285" s="660">
        <v>800</v>
      </c>
      <c r="K285" s="658" t="s">
        <v>14</v>
      </c>
      <c r="L285" s="658"/>
      <c r="M285" s="658"/>
      <c r="N285" s="5"/>
    </row>
    <row r="286" spans="1:26" x14ac:dyDescent="0.25">
      <c r="A286" s="591"/>
      <c r="B286" s="651"/>
      <c r="C286" s="651"/>
      <c r="D286" s="651"/>
      <c r="E286" s="651"/>
      <c r="F286" s="651"/>
      <c r="G286" s="651"/>
      <c r="H286" s="652"/>
      <c r="I286" s="652"/>
      <c r="J286" s="655"/>
      <c r="K286" s="651"/>
      <c r="L286" s="649"/>
      <c r="M286" s="649"/>
      <c r="N286" s="5"/>
    </row>
    <row r="287" spans="1:26" ht="15" customHeight="1" x14ac:dyDescent="0.25">
      <c r="A287" s="591"/>
      <c r="B287" s="534"/>
      <c r="C287" s="534"/>
      <c r="D287" s="534"/>
      <c r="E287" s="534"/>
      <c r="F287" s="534"/>
      <c r="G287" s="534"/>
      <c r="H287" s="534"/>
      <c r="I287" s="534"/>
      <c r="J287" s="534"/>
      <c r="K287" s="534"/>
      <c r="L287" s="534"/>
      <c r="M287" s="534"/>
      <c r="N287" s="5"/>
    </row>
    <row r="288" spans="1:26" ht="40.950000000000003" customHeight="1" x14ac:dyDescent="0.3">
      <c r="A288" s="591"/>
      <c r="B288" s="110" t="s">
        <v>40</v>
      </c>
      <c r="C288" s="82"/>
      <c r="D288" s="82"/>
      <c r="E288" s="82"/>
      <c r="F288" s="965" t="s">
        <v>159</v>
      </c>
      <c r="G288" s="965"/>
      <c r="H288" s="965" t="s">
        <v>158</v>
      </c>
      <c r="I288" s="965"/>
      <c r="J288" s="965" t="s">
        <v>273</v>
      </c>
      <c r="K288" s="965"/>
      <c r="L288" s="84"/>
      <c r="M288" s="84"/>
      <c r="N288" s="5"/>
    </row>
    <row r="289" spans="1:26" ht="13.8" thickBot="1" x14ac:dyDescent="0.3">
      <c r="A289" s="591"/>
      <c r="B289" s="82"/>
      <c r="C289" s="82"/>
      <c r="D289" s="82"/>
      <c r="E289" s="82"/>
      <c r="F289" s="82"/>
      <c r="G289" s="82"/>
      <c r="H289" s="83"/>
      <c r="I289" s="83"/>
      <c r="J289" s="84"/>
      <c r="K289" s="84"/>
      <c r="L289" s="84"/>
      <c r="M289" s="84"/>
      <c r="N289" s="5"/>
    </row>
    <row r="290" spans="1:26" ht="13.8" thickBot="1" x14ac:dyDescent="0.3">
      <c r="A290" s="591"/>
      <c r="B290" s="82"/>
      <c r="C290" s="82" t="s">
        <v>554</v>
      </c>
      <c r="D290" s="82"/>
      <c r="E290" s="82"/>
      <c r="F290" s="463">
        <f>IF(S10&gt;0,S10*'Gårdens info'!G26/1,0)</f>
        <v>5800</v>
      </c>
      <c r="G290" s="82" t="s">
        <v>153</v>
      </c>
      <c r="H290" s="99"/>
      <c r="I290" s="83" t="s">
        <v>152</v>
      </c>
      <c r="J290" s="85">
        <f>F290*H290</f>
        <v>0</v>
      </c>
      <c r="K290" s="82" t="s">
        <v>14</v>
      </c>
      <c r="L290" s="84"/>
      <c r="M290" s="84"/>
      <c r="N290" s="5"/>
    </row>
    <row r="291" spans="1:26" ht="13.8" thickBot="1" x14ac:dyDescent="0.3">
      <c r="A291" s="591"/>
      <c r="B291" s="82"/>
      <c r="C291" s="82" t="s">
        <v>443</v>
      </c>
      <c r="D291" s="84"/>
      <c r="E291" s="82"/>
      <c r="F291" s="463">
        <f>IF(S11&gt;0,S11*'Gårdens info'!G26/5,0)</f>
        <v>0</v>
      </c>
      <c r="G291" s="82" t="s">
        <v>153</v>
      </c>
      <c r="H291" s="99">
        <v>0.1</v>
      </c>
      <c r="I291" s="83" t="s">
        <v>152</v>
      </c>
      <c r="J291" s="85">
        <f>F291*H291</f>
        <v>0</v>
      </c>
      <c r="K291" s="82" t="s">
        <v>14</v>
      </c>
      <c r="L291" s="84"/>
      <c r="M291" s="84"/>
      <c r="N291" s="5"/>
    </row>
    <row r="292" spans="1:26" ht="13.8" thickBot="1" x14ac:dyDescent="0.3">
      <c r="A292" s="591"/>
      <c r="B292" s="82"/>
      <c r="C292" s="82" t="s">
        <v>444</v>
      </c>
      <c r="D292" s="84"/>
      <c r="E292" s="82"/>
      <c r="F292" s="463">
        <f>IF(S12&gt;0,S12*'Gårdens info'!G26/3,0)</f>
        <v>0</v>
      </c>
      <c r="G292" s="82" t="s">
        <v>153</v>
      </c>
      <c r="H292" s="99">
        <v>0.1</v>
      </c>
      <c r="I292" s="83" t="s">
        <v>152</v>
      </c>
      <c r="J292" s="85">
        <f t="shared" ref="J292:J297" si="24">F292*H292</f>
        <v>0</v>
      </c>
      <c r="K292" s="82" t="s">
        <v>14</v>
      </c>
      <c r="L292" s="84"/>
      <c r="M292" s="84"/>
      <c r="N292" s="5"/>
    </row>
    <row r="293" spans="1:26" ht="13.8" thickBot="1" x14ac:dyDescent="0.3">
      <c r="A293" s="591"/>
      <c r="B293" s="82"/>
      <c r="C293" s="82" t="s">
        <v>445</v>
      </c>
      <c r="D293" s="84"/>
      <c r="E293" s="82"/>
      <c r="F293" s="463">
        <f>IF(S13&gt;0,S13*'Gårdens info'!G26/0.5,0)</f>
        <v>0</v>
      </c>
      <c r="G293" s="82" t="s">
        <v>153</v>
      </c>
      <c r="H293" s="99">
        <v>4.9000000000000002E-2</v>
      </c>
      <c r="I293" s="83" t="s">
        <v>152</v>
      </c>
      <c r="J293" s="85">
        <f t="shared" si="24"/>
        <v>0</v>
      </c>
      <c r="K293" s="82" t="s">
        <v>14</v>
      </c>
      <c r="L293" s="84"/>
      <c r="M293" s="84"/>
      <c r="N293" s="5"/>
    </row>
    <row r="294" spans="1:26" ht="13.8" thickBot="1" x14ac:dyDescent="0.3">
      <c r="A294" s="591"/>
      <c r="B294" s="82"/>
      <c r="C294" s="82" t="s">
        <v>446</v>
      </c>
      <c r="D294" s="84"/>
      <c r="E294" s="82"/>
      <c r="F294" s="463">
        <f>IF(S14&gt;0,S14*'Gårdens info'!G26/0.25,0)</f>
        <v>0</v>
      </c>
      <c r="G294" s="82" t="s">
        <v>153</v>
      </c>
      <c r="H294" s="99">
        <v>0.04</v>
      </c>
      <c r="I294" s="83" t="s">
        <v>152</v>
      </c>
      <c r="J294" s="85">
        <f t="shared" si="24"/>
        <v>0</v>
      </c>
      <c r="K294" s="82" t="s">
        <v>14</v>
      </c>
      <c r="L294" s="84"/>
      <c r="M294" s="84"/>
      <c r="N294" s="5"/>
    </row>
    <row r="295" spans="1:26" ht="13.8" thickBot="1" x14ac:dyDescent="0.3">
      <c r="A295" s="591"/>
      <c r="B295" s="82"/>
      <c r="C295" s="96" t="s">
        <v>511</v>
      </c>
      <c r="D295" s="96"/>
      <c r="E295" s="82" t="s">
        <v>21</v>
      </c>
      <c r="F295" s="463">
        <f>IF(S15&gt;0,S15*'Gårdens info'!G26/D295,0)</f>
        <v>0</v>
      </c>
      <c r="G295" s="82" t="s">
        <v>153</v>
      </c>
      <c r="H295" s="99"/>
      <c r="I295" s="83" t="s">
        <v>152</v>
      </c>
      <c r="J295" s="85">
        <f t="shared" si="24"/>
        <v>0</v>
      </c>
      <c r="K295" s="82" t="s">
        <v>14</v>
      </c>
      <c r="L295" s="84"/>
      <c r="M295" s="84"/>
    </row>
    <row r="296" spans="1:26" ht="13.8" thickBot="1" x14ac:dyDescent="0.3">
      <c r="A296" s="591"/>
      <c r="B296" s="82"/>
      <c r="C296" s="96" t="s">
        <v>511</v>
      </c>
      <c r="D296" s="96"/>
      <c r="E296" s="82" t="s">
        <v>21</v>
      </c>
      <c r="F296" s="463">
        <f>IF(S16&gt;0,S16*'Gårdens info'!G26/D296,0)</f>
        <v>0</v>
      </c>
      <c r="G296" s="82" t="s">
        <v>153</v>
      </c>
      <c r="H296" s="99"/>
      <c r="I296" s="83" t="s">
        <v>152</v>
      </c>
      <c r="J296" s="85">
        <f t="shared" ref="J296" si="25">F296*H296</f>
        <v>0</v>
      </c>
      <c r="K296" s="82" t="s">
        <v>14</v>
      </c>
      <c r="L296" s="84"/>
      <c r="M296" s="84"/>
    </row>
    <row r="297" spans="1:26" ht="13.8" thickBot="1" x14ac:dyDescent="0.3">
      <c r="B297" s="82"/>
      <c r="C297" s="96" t="s">
        <v>511</v>
      </c>
      <c r="D297" s="96"/>
      <c r="E297" s="82" t="s">
        <v>21</v>
      </c>
      <c r="F297" s="463">
        <f>IF(S17&gt;0,S17*'Gårdens info'!G26/D297,0)</f>
        <v>0</v>
      </c>
      <c r="G297" s="82" t="s">
        <v>153</v>
      </c>
      <c r="H297" s="99"/>
      <c r="I297" s="83" t="s">
        <v>152</v>
      </c>
      <c r="J297" s="85">
        <f t="shared" si="24"/>
        <v>0</v>
      </c>
      <c r="K297" s="82" t="s">
        <v>14</v>
      </c>
      <c r="L297" s="84"/>
      <c r="M297" s="84"/>
    </row>
    <row r="298" spans="1:26" x14ac:dyDescent="0.25">
      <c r="B298" s="245"/>
      <c r="C298" s="245" t="s">
        <v>196</v>
      </c>
      <c r="D298" s="245"/>
      <c r="E298" s="245"/>
      <c r="F298" s="246"/>
      <c r="G298" s="245"/>
      <c r="H298" s="247"/>
      <c r="I298" s="248"/>
      <c r="J298" s="249">
        <f>SUM(J291:J297)</f>
        <v>0</v>
      </c>
      <c r="K298" s="245" t="s">
        <v>14</v>
      </c>
      <c r="L298" s="245"/>
      <c r="M298" s="245"/>
    </row>
    <row r="299" spans="1:26" s="8" customFormat="1" x14ac:dyDescent="0.25">
      <c r="A299" s="586"/>
      <c r="B299" s="82"/>
      <c r="C299" s="82"/>
      <c r="D299" s="82"/>
      <c r="E299" s="82"/>
      <c r="F299" s="82"/>
      <c r="G299" s="82"/>
      <c r="H299" s="83"/>
      <c r="I299" s="83"/>
      <c r="J299" s="85"/>
      <c r="K299" s="82"/>
      <c r="L299" s="84"/>
      <c r="M299" s="84"/>
      <c r="N299"/>
      <c r="O299"/>
      <c r="P299"/>
      <c r="Q299"/>
      <c r="R299"/>
      <c r="S299"/>
      <c r="T299"/>
      <c r="U299"/>
      <c r="Y299"/>
      <c r="Z299"/>
    </row>
    <row r="300" spans="1:26" x14ac:dyDescent="0.25">
      <c r="B300" s="534"/>
      <c r="C300" s="534"/>
      <c r="D300" s="534"/>
      <c r="E300" s="534"/>
      <c r="F300" s="534"/>
      <c r="G300" s="534"/>
      <c r="H300" s="534"/>
      <c r="I300" s="534"/>
      <c r="J300" s="534"/>
      <c r="K300" s="534"/>
      <c r="L300" s="534"/>
      <c r="M300" s="534"/>
      <c r="N300" s="8"/>
      <c r="O300" s="8"/>
      <c r="P300" s="8"/>
      <c r="Q300" s="8"/>
      <c r="R300" s="8"/>
      <c r="S300" s="8"/>
      <c r="T300" s="8"/>
      <c r="U300" s="8"/>
      <c r="Y300" s="8"/>
      <c r="Z300" s="8"/>
    </row>
    <row r="301" spans="1:26" ht="30" customHeight="1" x14ac:dyDescent="0.3">
      <c r="B301" s="111" t="s">
        <v>482</v>
      </c>
      <c r="C301" s="87"/>
      <c r="D301" s="87"/>
      <c r="E301" s="87"/>
      <c r="F301" s="966" t="s">
        <v>159</v>
      </c>
      <c r="G301" s="966"/>
      <c r="H301" s="966" t="s">
        <v>158</v>
      </c>
      <c r="I301" s="966"/>
      <c r="J301" s="966" t="s">
        <v>273</v>
      </c>
      <c r="K301" s="966"/>
      <c r="L301" s="89"/>
      <c r="M301" s="89"/>
    </row>
    <row r="302" spans="1:26" ht="13.8" thickBot="1" x14ac:dyDescent="0.3">
      <c r="B302" s="87"/>
      <c r="C302" s="87"/>
      <c r="D302" s="87"/>
      <c r="E302" s="87"/>
      <c r="F302" s="87"/>
      <c r="G302" s="87"/>
      <c r="H302" s="88"/>
      <c r="I302" s="88"/>
      <c r="J302" s="89"/>
      <c r="K302" s="89"/>
      <c r="L302" s="89"/>
      <c r="M302" s="89"/>
    </row>
    <row r="303" spans="1:26" ht="13.8" thickBot="1" x14ac:dyDescent="0.3">
      <c r="B303" s="87"/>
      <c r="C303" s="87" t="s">
        <v>483</v>
      </c>
      <c r="D303" s="89"/>
      <c r="E303" s="87"/>
      <c r="F303" s="96">
        <f>'Gårdens info'!G26*'Gårdens info'!D26</f>
        <v>29000</v>
      </c>
      <c r="G303" s="87" t="s">
        <v>21</v>
      </c>
      <c r="H303" s="99">
        <v>0.5</v>
      </c>
      <c r="I303" s="88" t="s">
        <v>6</v>
      </c>
      <c r="J303" s="90">
        <f t="shared" ref="J303:J305" si="26">F303*H303</f>
        <v>14500</v>
      </c>
      <c r="K303" s="87" t="s">
        <v>14</v>
      </c>
      <c r="L303" s="89"/>
      <c r="M303" s="89"/>
    </row>
    <row r="304" spans="1:26" ht="13.8" thickBot="1" x14ac:dyDescent="0.3">
      <c r="B304" s="87"/>
      <c r="C304" s="87" t="s">
        <v>510</v>
      </c>
      <c r="D304" s="87"/>
      <c r="E304" s="87"/>
      <c r="F304" s="96"/>
      <c r="G304" s="87" t="s">
        <v>21</v>
      </c>
      <c r="H304" s="99"/>
      <c r="I304" s="88" t="s">
        <v>6</v>
      </c>
      <c r="J304" s="90">
        <f t="shared" si="26"/>
        <v>0</v>
      </c>
      <c r="K304" s="87" t="s">
        <v>14</v>
      </c>
      <c r="L304" s="89"/>
      <c r="M304" s="89"/>
    </row>
    <row r="305" spans="1:26" ht="13.8" thickBot="1" x14ac:dyDescent="0.3">
      <c r="B305" s="87"/>
      <c r="C305" s="87" t="s">
        <v>510</v>
      </c>
      <c r="D305" s="87"/>
      <c r="E305" s="87"/>
      <c r="F305" s="96"/>
      <c r="G305" s="87" t="s">
        <v>21</v>
      </c>
      <c r="H305" s="99"/>
      <c r="I305" s="88" t="s">
        <v>6</v>
      </c>
      <c r="J305" s="90">
        <f t="shared" si="26"/>
        <v>0</v>
      </c>
      <c r="K305" s="87" t="s">
        <v>14</v>
      </c>
      <c r="L305" s="89"/>
      <c r="M305" s="89"/>
    </row>
    <row r="306" spans="1:26" x14ac:dyDescent="0.25">
      <c r="B306" s="250"/>
      <c r="C306" s="250" t="s">
        <v>196</v>
      </c>
      <c r="D306" s="250"/>
      <c r="E306" s="250"/>
      <c r="F306" s="251"/>
      <c r="G306" s="250"/>
      <c r="H306" s="252"/>
      <c r="I306" s="253"/>
      <c r="J306" s="254">
        <f>SUM(J303:J305)</f>
        <v>14500</v>
      </c>
      <c r="K306" s="250" t="s">
        <v>14</v>
      </c>
      <c r="L306" s="250"/>
      <c r="M306" s="250"/>
    </row>
    <row r="307" spans="1:26" s="8" customFormat="1" x14ac:dyDescent="0.25">
      <c r="A307" s="586"/>
      <c r="B307" s="87"/>
      <c r="C307" s="87"/>
      <c r="D307" s="87"/>
      <c r="E307" s="87"/>
      <c r="F307" s="87"/>
      <c r="G307" s="87"/>
      <c r="H307" s="88"/>
      <c r="I307" s="88"/>
      <c r="J307" s="90"/>
      <c r="K307" s="87"/>
      <c r="L307" s="89"/>
      <c r="M307" s="89"/>
      <c r="N307"/>
      <c r="O307"/>
      <c r="P307"/>
      <c r="Q307"/>
      <c r="R307"/>
      <c r="S307"/>
      <c r="T307"/>
      <c r="U307"/>
      <c r="Y307"/>
      <c r="Z307"/>
    </row>
    <row r="308" spans="1:26" x14ac:dyDescent="0.25">
      <c r="B308" s="534"/>
      <c r="C308" s="534"/>
      <c r="D308" s="534"/>
      <c r="E308" s="534"/>
      <c r="F308" s="534"/>
      <c r="G308" s="534"/>
      <c r="H308" s="534"/>
      <c r="I308" s="534"/>
      <c r="J308" s="534"/>
      <c r="K308" s="534"/>
      <c r="L308" s="534"/>
      <c r="M308" s="534"/>
      <c r="N308" s="8"/>
      <c r="O308" s="8"/>
      <c r="P308" s="8"/>
      <c r="Q308" s="8"/>
      <c r="R308" s="8"/>
      <c r="S308" s="8"/>
      <c r="T308" s="8"/>
      <c r="U308" s="8"/>
      <c r="Y308" s="8"/>
      <c r="Z308" s="8"/>
    </row>
    <row r="309" spans="1:26" ht="37.049999999999997" customHeight="1" x14ac:dyDescent="0.3">
      <c r="B309" s="219" t="s">
        <v>512</v>
      </c>
      <c r="C309" s="220"/>
      <c r="D309" s="220"/>
      <c r="E309" s="220"/>
      <c r="F309" s="964" t="s">
        <v>159</v>
      </c>
      <c r="G309" s="964"/>
      <c r="H309" s="964" t="s">
        <v>158</v>
      </c>
      <c r="I309" s="964"/>
      <c r="J309" s="964" t="s">
        <v>273</v>
      </c>
      <c r="K309" s="964"/>
      <c r="L309" s="222"/>
      <c r="M309" s="222"/>
    </row>
    <row r="310" spans="1:26" ht="13.8" thickBot="1" x14ac:dyDescent="0.3">
      <c r="B310" s="220"/>
      <c r="C310" s="220"/>
      <c r="D310" s="220"/>
      <c r="E310" s="220"/>
      <c r="F310" s="220"/>
      <c r="G310" s="220"/>
      <c r="H310" s="221"/>
      <c r="I310" s="221"/>
      <c r="J310" s="222"/>
      <c r="K310" s="222"/>
      <c r="L310" s="222"/>
      <c r="M310" s="222"/>
    </row>
    <row r="311" spans="1:26" ht="13.8" thickBot="1" x14ac:dyDescent="0.3">
      <c r="B311" s="220"/>
      <c r="C311" s="220" t="s">
        <v>294</v>
      </c>
      <c r="D311" s="222"/>
      <c r="E311" s="220"/>
      <c r="F311" s="96">
        <f>'Gårdens info'!D26</f>
        <v>5</v>
      </c>
      <c r="G311" s="220" t="s">
        <v>0</v>
      </c>
      <c r="H311" s="99">
        <v>450</v>
      </c>
      <c r="I311" s="221" t="s">
        <v>14</v>
      </c>
      <c r="J311" s="223">
        <f t="shared" ref="J311:J313" si="27">F311*H311</f>
        <v>2250</v>
      </c>
      <c r="K311" s="220" t="s">
        <v>14</v>
      </c>
      <c r="L311" s="222"/>
      <c r="M311" s="222"/>
    </row>
    <row r="312" spans="1:26" ht="13.8" thickBot="1" x14ac:dyDescent="0.3">
      <c r="B312" s="220"/>
      <c r="C312" s="220" t="s">
        <v>294</v>
      </c>
      <c r="D312" s="220"/>
      <c r="E312" s="220"/>
      <c r="F312" s="96"/>
      <c r="G312" s="220" t="s">
        <v>0</v>
      </c>
      <c r="H312" s="99"/>
      <c r="I312" s="221" t="s">
        <v>14</v>
      </c>
      <c r="J312" s="223">
        <f t="shared" si="27"/>
        <v>0</v>
      </c>
      <c r="K312" s="220" t="s">
        <v>14</v>
      </c>
      <c r="L312" s="222"/>
      <c r="M312" s="222"/>
    </row>
    <row r="313" spans="1:26" ht="13.8" thickBot="1" x14ac:dyDescent="0.3">
      <c r="B313" s="220"/>
      <c r="C313" s="220" t="s">
        <v>294</v>
      </c>
      <c r="D313" s="220"/>
      <c r="E313" s="220"/>
      <c r="F313" s="96"/>
      <c r="G313" s="220" t="s">
        <v>0</v>
      </c>
      <c r="H313" s="99"/>
      <c r="I313" s="221" t="s">
        <v>14</v>
      </c>
      <c r="J313" s="223">
        <f t="shared" si="27"/>
        <v>0</v>
      </c>
      <c r="K313" s="220" t="s">
        <v>14</v>
      </c>
      <c r="L313" s="222"/>
      <c r="M313" s="222"/>
    </row>
    <row r="314" spans="1:26" x14ac:dyDescent="0.25">
      <c r="B314" s="255"/>
      <c r="C314" s="255" t="s">
        <v>196</v>
      </c>
      <c r="D314" s="255"/>
      <c r="E314" s="255"/>
      <c r="F314" s="256"/>
      <c r="G314" s="255"/>
      <c r="H314" s="257"/>
      <c r="I314" s="258"/>
      <c r="J314" s="259">
        <f>SUM(J311:J313)</f>
        <v>2250</v>
      </c>
      <c r="K314" s="255" t="s">
        <v>14</v>
      </c>
      <c r="L314" s="255"/>
      <c r="M314" s="255"/>
    </row>
    <row r="315" spans="1:26" s="8" customFormat="1" x14ac:dyDescent="0.25">
      <c r="A315" s="586"/>
      <c r="B315" s="220"/>
      <c r="C315" s="220"/>
      <c r="D315" s="220"/>
      <c r="E315" s="220"/>
      <c r="F315" s="220"/>
      <c r="G315" s="220"/>
      <c r="H315" s="221"/>
      <c r="I315" s="221"/>
      <c r="J315" s="223"/>
      <c r="K315" s="220"/>
      <c r="L315" s="222"/>
      <c r="M315" s="222"/>
      <c r="N315"/>
      <c r="O315"/>
      <c r="P315"/>
      <c r="Q315"/>
      <c r="R315"/>
      <c r="S315"/>
      <c r="T315"/>
      <c r="U315"/>
      <c r="Y315"/>
      <c r="Z315"/>
    </row>
    <row r="316" spans="1:26" x14ac:dyDescent="0.25">
      <c r="B316" s="534"/>
      <c r="C316" s="534"/>
      <c r="D316" s="534"/>
      <c r="E316" s="534"/>
      <c r="F316" s="534"/>
      <c r="G316" s="534"/>
      <c r="H316" s="534"/>
      <c r="I316" s="534"/>
      <c r="J316" s="534"/>
      <c r="K316" s="534"/>
      <c r="L316" s="534"/>
      <c r="M316" s="534"/>
      <c r="N316" s="8"/>
      <c r="O316" s="8"/>
      <c r="P316" s="8"/>
      <c r="Q316" s="8"/>
      <c r="R316" s="8"/>
      <c r="S316" s="8"/>
      <c r="T316" s="8"/>
      <c r="U316" s="8"/>
      <c r="Y316" s="8"/>
      <c r="Z316" s="8"/>
    </row>
    <row r="317" spans="1:26" ht="33" customHeight="1" x14ac:dyDescent="0.3">
      <c r="B317" s="225" t="s">
        <v>513</v>
      </c>
      <c r="C317" s="226"/>
      <c r="D317" s="226"/>
      <c r="E317" s="227"/>
      <c r="F317" s="226" t="s">
        <v>159</v>
      </c>
      <c r="G317" s="228"/>
      <c r="H317" s="228" t="s">
        <v>158</v>
      </c>
      <c r="I317" s="226"/>
      <c r="J317" s="226"/>
      <c r="K317" s="229"/>
      <c r="L317" s="229"/>
      <c r="M317" s="229"/>
    </row>
    <row r="318" spans="1:26" ht="16.2" thickBot="1" x14ac:dyDescent="0.35">
      <c r="B318" s="225"/>
      <c r="C318" s="226"/>
      <c r="D318" s="226"/>
      <c r="E318" s="227"/>
      <c r="F318" s="226"/>
      <c r="G318" s="228"/>
      <c r="H318" s="228"/>
      <c r="I318" s="226"/>
      <c r="J318" s="226"/>
      <c r="K318" s="229"/>
      <c r="L318" s="229"/>
      <c r="M318" s="229"/>
    </row>
    <row r="319" spans="1:26" ht="13.8" thickBot="1" x14ac:dyDescent="0.3">
      <c r="B319" s="226"/>
      <c r="C319" s="226" t="s">
        <v>296</v>
      </c>
      <c r="D319" s="229"/>
      <c r="E319" s="230"/>
      <c r="F319" s="96">
        <v>500</v>
      </c>
      <c r="G319" s="231" t="s">
        <v>18</v>
      </c>
      <c r="H319" s="96">
        <v>0.15</v>
      </c>
      <c r="I319" s="232" t="s">
        <v>10</v>
      </c>
      <c r="J319" s="229">
        <f>H319*F319</f>
        <v>75</v>
      </c>
      <c r="K319" s="232" t="s">
        <v>14</v>
      </c>
      <c r="L319" s="229"/>
      <c r="M319" s="229"/>
    </row>
    <row r="320" spans="1:26" ht="13.8" thickBot="1" x14ac:dyDescent="0.3">
      <c r="B320" s="226"/>
      <c r="C320" s="226" t="s">
        <v>464</v>
      </c>
      <c r="D320" s="232">
        <f>F347/2</f>
        <v>36.5</v>
      </c>
      <c r="E320" s="226" t="s">
        <v>9</v>
      </c>
      <c r="F320" s="96">
        <f>+D320*8</f>
        <v>292</v>
      </c>
      <c r="G320" s="228" t="s">
        <v>20</v>
      </c>
      <c r="H320" s="96">
        <v>0.83</v>
      </c>
      <c r="I320" s="232" t="s">
        <v>5</v>
      </c>
      <c r="J320" s="229">
        <f>H320*F320</f>
        <v>242.35999999999999</v>
      </c>
      <c r="K320" s="232" t="s">
        <v>14</v>
      </c>
      <c r="L320" s="229"/>
      <c r="M320" s="229"/>
    </row>
    <row r="321" spans="1:26" ht="13.8" thickBot="1" x14ac:dyDescent="0.3">
      <c r="B321" s="226"/>
      <c r="C321" s="226" t="s">
        <v>298</v>
      </c>
      <c r="D321" s="232">
        <f>D320</f>
        <v>36.5</v>
      </c>
      <c r="E321" s="226" t="s">
        <v>9</v>
      </c>
      <c r="F321" s="96">
        <v>11.88</v>
      </c>
      <c r="G321" s="228" t="s">
        <v>21</v>
      </c>
      <c r="H321" s="96">
        <v>4</v>
      </c>
      <c r="I321" s="232" t="s">
        <v>6</v>
      </c>
      <c r="J321" s="229">
        <f t="shared" ref="J321:J325" si="28">H321*F321</f>
        <v>47.52</v>
      </c>
      <c r="K321" s="232" t="s">
        <v>14</v>
      </c>
      <c r="L321" s="229"/>
      <c r="M321" s="229"/>
    </row>
    <row r="322" spans="1:26" ht="13.8" thickBot="1" x14ac:dyDescent="0.3">
      <c r="B322" s="226"/>
      <c r="C322" s="226" t="s">
        <v>19</v>
      </c>
      <c r="D322" s="229"/>
      <c r="E322" s="232"/>
      <c r="F322" s="96">
        <v>200</v>
      </c>
      <c r="G322" s="228" t="s">
        <v>20</v>
      </c>
      <c r="H322" s="96">
        <v>1.53</v>
      </c>
      <c r="I322" s="232" t="s">
        <v>5</v>
      </c>
      <c r="J322" s="229">
        <f t="shared" si="28"/>
        <v>306</v>
      </c>
      <c r="K322" s="232" t="s">
        <v>14</v>
      </c>
      <c r="L322" s="229"/>
      <c r="M322" s="229"/>
    </row>
    <row r="323" spans="1:26" ht="13.8" thickBot="1" x14ac:dyDescent="0.3">
      <c r="B323" s="226"/>
      <c r="C323" s="226" t="s">
        <v>299</v>
      </c>
      <c r="D323" s="229"/>
      <c r="E323" s="232"/>
      <c r="F323" s="96">
        <v>1.48</v>
      </c>
      <c r="G323" s="228" t="s">
        <v>20</v>
      </c>
      <c r="H323" s="96">
        <v>1.6</v>
      </c>
      <c r="I323" s="232" t="s">
        <v>5</v>
      </c>
      <c r="J323" s="229">
        <f t="shared" si="28"/>
        <v>2.3679999999999999</v>
      </c>
      <c r="K323" s="232" t="s">
        <v>14</v>
      </c>
      <c r="L323" s="229"/>
      <c r="M323" s="229"/>
    </row>
    <row r="324" spans="1:26" ht="13.8" thickBot="1" x14ac:dyDescent="0.3">
      <c r="B324" s="226"/>
      <c r="C324" s="226" t="s">
        <v>300</v>
      </c>
      <c r="D324" s="229"/>
      <c r="E324" s="232"/>
      <c r="F324" s="96"/>
      <c r="G324" s="228"/>
      <c r="H324" s="96"/>
      <c r="I324" s="232"/>
      <c r="J324" s="229">
        <f t="shared" si="28"/>
        <v>0</v>
      </c>
      <c r="K324" s="232" t="s">
        <v>14</v>
      </c>
      <c r="L324" s="229"/>
      <c r="M324" s="229"/>
    </row>
    <row r="325" spans="1:26" ht="13.8" thickBot="1" x14ac:dyDescent="0.3">
      <c r="B325" s="229"/>
      <c r="C325" s="226" t="s">
        <v>300</v>
      </c>
      <c r="D325" s="229"/>
      <c r="E325" s="229"/>
      <c r="F325" s="96"/>
      <c r="G325" s="229"/>
      <c r="H325" s="96"/>
      <c r="I325" s="229"/>
      <c r="J325" s="229">
        <f t="shared" si="28"/>
        <v>0</v>
      </c>
      <c r="K325" s="232" t="s">
        <v>14</v>
      </c>
      <c r="L325" s="229"/>
      <c r="M325" s="229"/>
    </row>
    <row r="326" spans="1:26" x14ac:dyDescent="0.25">
      <c r="B326" s="260"/>
      <c r="C326" s="260" t="s">
        <v>196</v>
      </c>
      <c r="D326" s="260"/>
      <c r="E326" s="260"/>
      <c r="F326" s="261"/>
      <c r="G326" s="260"/>
      <c r="H326" s="261"/>
      <c r="I326" s="260"/>
      <c r="J326" s="260">
        <f>SUM(J319:J325)</f>
        <v>673.24800000000005</v>
      </c>
      <c r="K326" s="262" t="s">
        <v>14</v>
      </c>
      <c r="L326" s="260"/>
      <c r="M326" s="260"/>
    </row>
    <row r="327" spans="1:26" s="8" customFormat="1" x14ac:dyDescent="0.25">
      <c r="A327" s="586"/>
      <c r="B327" s="229"/>
      <c r="C327" s="229"/>
      <c r="D327" s="229"/>
      <c r="E327" s="229"/>
      <c r="F327" s="229"/>
      <c r="G327" s="229"/>
      <c r="H327" s="229"/>
      <c r="I327" s="229"/>
      <c r="J327" s="229"/>
      <c r="K327" s="229"/>
      <c r="L327" s="229"/>
      <c r="M327" s="229"/>
      <c r="N327"/>
      <c r="O327"/>
      <c r="P327"/>
      <c r="Q327"/>
      <c r="R327"/>
      <c r="S327"/>
      <c r="T327"/>
      <c r="U327"/>
      <c r="Y327"/>
      <c r="Z327"/>
    </row>
    <row r="328" spans="1:26" x14ac:dyDescent="0.25">
      <c r="B328" s="534"/>
      <c r="C328" s="534"/>
      <c r="D328" s="534"/>
      <c r="E328" s="534"/>
      <c r="F328" s="534"/>
      <c r="G328" s="534"/>
      <c r="H328" s="534"/>
      <c r="I328" s="534"/>
      <c r="J328" s="534"/>
      <c r="K328" s="534"/>
      <c r="L328" s="534"/>
      <c r="M328" s="534"/>
      <c r="N328" s="8"/>
      <c r="O328" s="8"/>
      <c r="P328" s="8"/>
      <c r="Q328" s="8"/>
      <c r="R328" s="8"/>
      <c r="S328" s="8"/>
      <c r="T328" s="8"/>
      <c r="U328" s="8"/>
      <c r="Y328" s="8"/>
      <c r="Z328" s="8"/>
    </row>
    <row r="329" spans="1:26" ht="31.95" customHeight="1" x14ac:dyDescent="0.3">
      <c r="B329" s="112" t="s">
        <v>484</v>
      </c>
      <c r="C329" s="101"/>
      <c r="D329" s="101"/>
      <c r="E329" s="101"/>
      <c r="F329" s="101"/>
      <c r="G329" s="101"/>
      <c r="H329" s="101"/>
      <c r="I329" s="101"/>
      <c r="J329" s="101"/>
      <c r="K329" s="101"/>
      <c r="L329" s="101"/>
      <c r="M329" s="101"/>
    </row>
    <row r="330" spans="1:26" ht="15.6" x14ac:dyDescent="0.3">
      <c r="B330" s="112"/>
      <c r="C330" s="101"/>
      <c r="D330" s="101"/>
      <c r="E330" s="101"/>
      <c r="F330" s="101"/>
      <c r="G330" s="101"/>
      <c r="H330" s="101"/>
      <c r="I330" s="101"/>
      <c r="J330" s="101"/>
      <c r="K330" s="101"/>
      <c r="L330" s="101"/>
      <c r="M330" s="101"/>
    </row>
    <row r="331" spans="1:26" ht="30" customHeight="1" x14ac:dyDescent="0.25">
      <c r="B331" s="961" t="s">
        <v>302</v>
      </c>
      <c r="C331" s="961"/>
      <c r="D331" s="961"/>
      <c r="E331" s="961"/>
      <c r="F331" s="961"/>
      <c r="G331" s="961"/>
      <c r="H331" s="961"/>
      <c r="I331" s="961"/>
      <c r="J331" s="961"/>
      <c r="K331" s="961"/>
      <c r="L331" s="961"/>
      <c r="M331" s="961"/>
    </row>
    <row r="332" spans="1:26" ht="46.95" customHeight="1" x14ac:dyDescent="0.3">
      <c r="B332" s="112"/>
      <c r="C332" s="101"/>
      <c r="D332" s="101"/>
      <c r="E332" s="834"/>
      <c r="F332" s="834"/>
      <c r="G332" s="834"/>
      <c r="H332" s="835"/>
      <c r="I332" s="835"/>
      <c r="J332" s="834"/>
      <c r="K332" s="834"/>
      <c r="L332" s="835"/>
      <c r="M332" s="835"/>
    </row>
    <row r="333" spans="1:26" ht="15.6" x14ac:dyDescent="0.3">
      <c r="B333" s="112"/>
      <c r="C333" s="101"/>
      <c r="D333" s="101"/>
      <c r="E333" s="962" t="s">
        <v>303</v>
      </c>
      <c r="F333" s="962"/>
      <c r="G333" s="962"/>
      <c r="H333" s="963" t="s">
        <v>158</v>
      </c>
      <c r="I333" s="963"/>
      <c r="J333" s="963" t="s">
        <v>304</v>
      </c>
      <c r="K333" s="963"/>
      <c r="L333" s="963" t="s">
        <v>158</v>
      </c>
      <c r="M333" s="963"/>
    </row>
    <row r="334" spans="1:26" ht="15.6" thickBot="1" x14ac:dyDescent="0.3">
      <c r="B334" s="100"/>
      <c r="C334" s="101"/>
      <c r="D334" s="101"/>
      <c r="E334" s="101"/>
      <c r="F334" s="101"/>
      <c r="G334" s="101"/>
      <c r="H334" s="101"/>
      <c r="I334" s="101"/>
      <c r="J334" s="101"/>
      <c r="K334" s="101"/>
      <c r="L334" s="101"/>
      <c r="M334" s="101"/>
    </row>
    <row r="335" spans="1:26" ht="13.8" thickBot="1" x14ac:dyDescent="0.3">
      <c r="B335" s="101"/>
      <c r="C335" s="102" t="s">
        <v>323</v>
      </c>
      <c r="D335" s="101"/>
      <c r="E335" s="101"/>
      <c r="F335" s="115">
        <v>1</v>
      </c>
      <c r="G335" s="104" t="s">
        <v>22</v>
      </c>
      <c r="H335" s="114">
        <f t="shared" ref="H335:H346" si="29">$H$163</f>
        <v>14.5</v>
      </c>
      <c r="I335" s="104" t="s">
        <v>11</v>
      </c>
      <c r="J335" s="116"/>
      <c r="K335" s="104" t="s">
        <v>22</v>
      </c>
      <c r="L335" s="114">
        <f t="shared" ref="L335:L346" si="30">$L$163</f>
        <v>14.5</v>
      </c>
      <c r="M335" s="104" t="s">
        <v>11</v>
      </c>
    </row>
    <row r="336" spans="1:26" ht="13.8" thickBot="1" x14ac:dyDescent="0.3">
      <c r="B336" s="101"/>
      <c r="C336" s="102" t="s">
        <v>427</v>
      </c>
      <c r="D336" s="101"/>
      <c r="E336" s="101"/>
      <c r="F336" s="115">
        <v>20</v>
      </c>
      <c r="G336" s="104" t="s">
        <v>22</v>
      </c>
      <c r="H336" s="114">
        <f t="shared" si="29"/>
        <v>14.5</v>
      </c>
      <c r="I336" s="104" t="s">
        <v>11</v>
      </c>
      <c r="J336" s="116">
        <v>20</v>
      </c>
      <c r="K336" s="104" t="s">
        <v>22</v>
      </c>
      <c r="L336" s="114">
        <f t="shared" si="30"/>
        <v>14.5</v>
      </c>
      <c r="M336" s="104" t="s">
        <v>11</v>
      </c>
    </row>
    <row r="337" spans="1:26" ht="13.8" thickBot="1" x14ac:dyDescent="0.3">
      <c r="B337" s="101"/>
      <c r="C337" s="102" t="s">
        <v>317</v>
      </c>
      <c r="D337" s="101"/>
      <c r="E337" s="101"/>
      <c r="F337" s="115">
        <v>2</v>
      </c>
      <c r="G337" s="104" t="s">
        <v>22</v>
      </c>
      <c r="H337" s="114">
        <f t="shared" si="29"/>
        <v>14.5</v>
      </c>
      <c r="I337" s="104" t="s">
        <v>11</v>
      </c>
      <c r="J337" s="116"/>
      <c r="K337" s="104" t="s">
        <v>22</v>
      </c>
      <c r="L337" s="114">
        <f t="shared" si="30"/>
        <v>14.5</v>
      </c>
      <c r="M337" s="104" t="s">
        <v>11</v>
      </c>
    </row>
    <row r="338" spans="1:26" ht="13.8" thickBot="1" x14ac:dyDescent="0.3">
      <c r="B338" s="101"/>
      <c r="C338" s="102" t="s">
        <v>132</v>
      </c>
      <c r="D338" s="101"/>
      <c r="E338" s="101"/>
      <c r="F338" s="115"/>
      <c r="G338" s="104" t="s">
        <v>21</v>
      </c>
      <c r="H338" s="115"/>
      <c r="I338" s="104" t="s">
        <v>6</v>
      </c>
      <c r="J338" s="115"/>
      <c r="K338" s="104" t="s">
        <v>21</v>
      </c>
      <c r="L338" s="115"/>
      <c r="M338" s="104" t="s">
        <v>6</v>
      </c>
    </row>
    <row r="339" spans="1:26" ht="13.8" thickBot="1" x14ac:dyDescent="0.3">
      <c r="B339" s="101"/>
      <c r="C339" s="102" t="s">
        <v>132</v>
      </c>
      <c r="D339" s="101"/>
      <c r="E339" s="101"/>
      <c r="F339" s="115">
        <v>4</v>
      </c>
      <c r="G339" s="104" t="s">
        <v>22</v>
      </c>
      <c r="H339" s="114">
        <f t="shared" si="29"/>
        <v>14.5</v>
      </c>
      <c r="I339" s="104" t="s">
        <v>11</v>
      </c>
      <c r="J339" s="116"/>
      <c r="K339" s="104" t="s">
        <v>22</v>
      </c>
      <c r="L339" s="114">
        <f t="shared" si="30"/>
        <v>14.5</v>
      </c>
      <c r="M339" s="104" t="s">
        <v>11</v>
      </c>
    </row>
    <row r="340" spans="1:26" ht="13.8" thickBot="1" x14ac:dyDescent="0.3">
      <c r="B340" s="101"/>
      <c r="C340" s="102" t="s">
        <v>454</v>
      </c>
      <c r="D340" s="101"/>
      <c r="E340" s="101"/>
      <c r="F340" s="115">
        <v>8</v>
      </c>
      <c r="G340" s="104" t="s">
        <v>22</v>
      </c>
      <c r="H340" s="114">
        <f t="shared" si="29"/>
        <v>14.5</v>
      </c>
      <c r="I340" s="104" t="s">
        <v>11</v>
      </c>
      <c r="J340" s="116"/>
      <c r="K340" s="104" t="s">
        <v>22</v>
      </c>
      <c r="L340" s="114">
        <f t="shared" si="30"/>
        <v>14.5</v>
      </c>
      <c r="M340" s="104" t="s">
        <v>11</v>
      </c>
    </row>
    <row r="341" spans="1:26" ht="13.8" thickBot="1" x14ac:dyDescent="0.3">
      <c r="B341" s="101"/>
      <c r="C341" s="102" t="s">
        <v>428</v>
      </c>
      <c r="D341" s="101"/>
      <c r="E341" s="101"/>
      <c r="F341" s="115">
        <v>8</v>
      </c>
      <c r="G341" s="104" t="s">
        <v>22</v>
      </c>
      <c r="H341" s="114">
        <f t="shared" si="29"/>
        <v>14.5</v>
      </c>
      <c r="I341" s="104" t="s">
        <v>11</v>
      </c>
      <c r="J341" s="116"/>
      <c r="K341" s="104" t="s">
        <v>22</v>
      </c>
      <c r="L341" s="114">
        <f t="shared" si="30"/>
        <v>14.5</v>
      </c>
      <c r="M341" s="104" t="s">
        <v>11</v>
      </c>
    </row>
    <row r="342" spans="1:26" ht="13.8" thickBot="1" x14ac:dyDescent="0.3">
      <c r="B342" s="101"/>
      <c r="C342" s="102" t="s">
        <v>515</v>
      </c>
      <c r="D342" s="101"/>
      <c r="E342" s="101"/>
      <c r="F342" s="115">
        <v>10</v>
      </c>
      <c r="G342" s="104" t="s">
        <v>22</v>
      </c>
      <c r="H342" s="114">
        <f t="shared" si="29"/>
        <v>14.5</v>
      </c>
      <c r="I342" s="104" t="s">
        <v>11</v>
      </c>
      <c r="J342" s="116"/>
      <c r="K342" s="104" t="s">
        <v>22</v>
      </c>
      <c r="L342" s="114">
        <f t="shared" si="30"/>
        <v>14.5</v>
      </c>
      <c r="M342" s="104" t="s">
        <v>11</v>
      </c>
    </row>
    <row r="343" spans="1:26" ht="13.8" thickBot="1" x14ac:dyDescent="0.3">
      <c r="B343" s="101"/>
      <c r="C343" s="102" t="s">
        <v>429</v>
      </c>
      <c r="D343" s="101"/>
      <c r="E343" s="101"/>
      <c r="F343" s="116">
        <v>20</v>
      </c>
      <c r="G343" s="104" t="s">
        <v>22</v>
      </c>
      <c r="H343" s="114">
        <f t="shared" si="29"/>
        <v>14.5</v>
      </c>
      <c r="I343" s="104" t="s">
        <v>11</v>
      </c>
      <c r="J343" s="116"/>
      <c r="K343" s="104" t="s">
        <v>22</v>
      </c>
      <c r="L343" s="114">
        <f t="shared" si="30"/>
        <v>14.5</v>
      </c>
      <c r="M343" s="104" t="s">
        <v>11</v>
      </c>
    </row>
    <row r="344" spans="1:26" ht="13.8" thickBot="1" x14ac:dyDescent="0.3">
      <c r="B344" s="101"/>
      <c r="C344" s="102" t="s">
        <v>431</v>
      </c>
      <c r="D344" s="101"/>
      <c r="E344" s="101"/>
      <c r="F344" s="116"/>
      <c r="G344" s="104" t="s">
        <v>22</v>
      </c>
      <c r="H344" s="114">
        <f t="shared" si="29"/>
        <v>14.5</v>
      </c>
      <c r="I344" s="104" t="s">
        <v>11</v>
      </c>
      <c r="J344" s="97"/>
      <c r="K344" s="104" t="s">
        <v>22</v>
      </c>
      <c r="L344" s="114">
        <f t="shared" si="30"/>
        <v>14.5</v>
      </c>
      <c r="M344" s="104" t="s">
        <v>11</v>
      </c>
    </row>
    <row r="345" spans="1:26" ht="13.8" thickBot="1" x14ac:dyDescent="0.3">
      <c r="B345" s="101"/>
      <c r="C345" s="102" t="s">
        <v>431</v>
      </c>
      <c r="D345" s="101"/>
      <c r="E345" s="101"/>
      <c r="F345" s="116"/>
      <c r="G345" s="104" t="s">
        <v>22</v>
      </c>
      <c r="H345" s="114">
        <f t="shared" si="29"/>
        <v>14.5</v>
      </c>
      <c r="I345" s="104" t="s">
        <v>11</v>
      </c>
      <c r="J345" s="97"/>
      <c r="K345" s="104" t="s">
        <v>22</v>
      </c>
      <c r="L345" s="114">
        <f t="shared" si="30"/>
        <v>14.5</v>
      </c>
      <c r="M345" s="104" t="s">
        <v>11</v>
      </c>
    </row>
    <row r="346" spans="1:26" ht="13.8" thickBot="1" x14ac:dyDescent="0.3">
      <c r="B346" s="101"/>
      <c r="C346" s="102" t="s">
        <v>431</v>
      </c>
      <c r="D346" s="103"/>
      <c r="E346" s="103"/>
      <c r="F346" s="97"/>
      <c r="G346" s="104" t="s">
        <v>22</v>
      </c>
      <c r="H346" s="114">
        <f t="shared" si="29"/>
        <v>14.5</v>
      </c>
      <c r="I346" s="104" t="s">
        <v>11</v>
      </c>
      <c r="J346" s="97"/>
      <c r="K346" s="104" t="s">
        <v>22</v>
      </c>
      <c r="L346" s="114">
        <f t="shared" si="30"/>
        <v>14.5</v>
      </c>
      <c r="M346" s="104" t="s">
        <v>11</v>
      </c>
    </row>
    <row r="347" spans="1:26" x14ac:dyDescent="0.25">
      <c r="B347" s="264"/>
      <c r="C347" s="265" t="s">
        <v>196</v>
      </c>
      <c r="D347" s="266"/>
      <c r="E347" s="266"/>
      <c r="F347" s="267">
        <f>SUM(F335:F337)+SUM(F339:F346)</f>
        <v>73</v>
      </c>
      <c r="G347" s="264" t="s">
        <v>22</v>
      </c>
      <c r="H347" s="268">
        <f>F347*H163+F338*H338</f>
        <v>1058.5</v>
      </c>
      <c r="I347" s="264" t="s">
        <v>14</v>
      </c>
      <c r="J347" s="269">
        <f>SUM(J335:J337,J339:J346)</f>
        <v>20</v>
      </c>
      <c r="K347" s="264" t="s">
        <v>22</v>
      </c>
      <c r="L347" s="268">
        <f>J347*L163+J338*L338</f>
        <v>290</v>
      </c>
      <c r="M347" s="264" t="s">
        <v>14</v>
      </c>
    </row>
    <row r="348" spans="1:26" s="8" customFormat="1" ht="13.8" thickBot="1" x14ac:dyDescent="0.3">
      <c r="A348" s="586"/>
      <c r="B348" s="534"/>
      <c r="C348" s="534"/>
      <c r="D348" s="534"/>
      <c r="E348" s="534"/>
      <c r="F348" s="534"/>
      <c r="G348" s="534"/>
      <c r="H348" s="534"/>
      <c r="I348" s="534"/>
      <c r="J348" s="534"/>
      <c r="K348" s="534"/>
      <c r="L348" s="534"/>
      <c r="M348" s="534"/>
      <c r="N348"/>
      <c r="O348"/>
      <c r="P348"/>
      <c r="Q348"/>
      <c r="R348"/>
      <c r="S348"/>
      <c r="T348"/>
      <c r="U348"/>
      <c r="Y348"/>
      <c r="Z348"/>
    </row>
    <row r="349" spans="1:26" ht="58.05" customHeight="1" thickBot="1" x14ac:dyDescent="0.45">
      <c r="B349" s="953" t="s">
        <v>395</v>
      </c>
      <c r="C349" s="954"/>
      <c r="D349" s="954"/>
      <c r="E349" s="955"/>
      <c r="F349" s="534"/>
      <c r="G349" s="534"/>
      <c r="H349" s="534"/>
      <c r="I349" s="534"/>
      <c r="J349" s="983" t="s">
        <v>271</v>
      </c>
      <c r="K349" s="983"/>
      <c r="L349" s="983"/>
      <c r="M349" s="534"/>
      <c r="N349" s="8"/>
      <c r="O349" s="8"/>
      <c r="P349" s="8"/>
      <c r="Q349" s="8"/>
      <c r="R349" s="8"/>
      <c r="S349" s="8"/>
      <c r="T349" s="8"/>
      <c r="U349" s="8"/>
      <c r="Y349" s="8"/>
      <c r="Z349" s="8"/>
    </row>
    <row r="350" spans="1:26" x14ac:dyDescent="0.25">
      <c r="B350" s="534"/>
      <c r="C350" s="534"/>
      <c r="D350" s="534"/>
      <c r="E350" s="534"/>
      <c r="F350" s="534"/>
      <c r="G350" s="534"/>
      <c r="H350" s="534"/>
      <c r="I350" s="534"/>
      <c r="J350" s="534"/>
      <c r="K350" s="534"/>
      <c r="L350" s="534"/>
      <c r="M350" s="534"/>
    </row>
    <row r="351" spans="1:26" ht="15" customHeight="1" x14ac:dyDescent="0.25">
      <c r="B351" s="974" t="s">
        <v>459</v>
      </c>
      <c r="C351" s="974"/>
      <c r="D351" s="974"/>
      <c r="E351" s="974"/>
      <c r="F351" s="974"/>
      <c r="G351" s="974"/>
      <c r="H351" s="974"/>
      <c r="I351" s="974"/>
      <c r="J351" s="974"/>
      <c r="K351" s="974"/>
      <c r="L351" s="974"/>
      <c r="M351" s="974"/>
    </row>
    <row r="352" spans="1:26" s="91" customFormat="1" ht="49.95" customHeight="1" x14ac:dyDescent="0.25">
      <c r="A352" s="588"/>
      <c r="B352" s="534"/>
      <c r="C352" s="534"/>
      <c r="D352" s="534"/>
      <c r="E352" s="534"/>
      <c r="F352" s="534"/>
      <c r="G352" s="534"/>
      <c r="H352" s="534"/>
      <c r="I352" s="534"/>
      <c r="J352" s="534"/>
      <c r="K352" s="534"/>
      <c r="L352" s="534"/>
      <c r="M352" s="534"/>
      <c r="N352"/>
      <c r="O352"/>
      <c r="P352"/>
      <c r="Q352"/>
      <c r="R352"/>
      <c r="S352"/>
      <c r="T352"/>
      <c r="U352"/>
      <c r="Y352"/>
      <c r="Z352"/>
    </row>
    <row r="353" spans="1:26" ht="31.05" customHeight="1" x14ac:dyDescent="0.3">
      <c r="B353" s="109" t="s">
        <v>518</v>
      </c>
      <c r="C353" s="72"/>
      <c r="D353" s="72"/>
      <c r="E353" s="72"/>
      <c r="F353" s="957" t="s">
        <v>159</v>
      </c>
      <c r="G353" s="957"/>
      <c r="H353" s="958" t="s">
        <v>158</v>
      </c>
      <c r="I353" s="958"/>
      <c r="J353" s="957" t="s">
        <v>273</v>
      </c>
      <c r="K353" s="957"/>
      <c r="L353" s="79"/>
      <c r="M353" s="79"/>
      <c r="N353" s="91"/>
      <c r="O353" s="91"/>
      <c r="P353" s="91"/>
      <c r="Q353" s="91"/>
      <c r="R353" s="91"/>
      <c r="S353" s="91"/>
      <c r="T353" s="91"/>
      <c r="U353" s="91"/>
      <c r="Y353" s="91"/>
      <c r="Z353" s="91"/>
    </row>
    <row r="354" spans="1:26" ht="15.6" x14ac:dyDescent="0.3">
      <c r="B354" s="109"/>
      <c r="C354" s="72"/>
      <c r="D354" s="462" t="s">
        <v>364</v>
      </c>
      <c r="E354" s="72"/>
      <c r="F354" s="128"/>
      <c r="G354" s="128"/>
      <c r="H354" s="127"/>
      <c r="I354" s="127"/>
      <c r="J354" s="128"/>
      <c r="K354" s="128"/>
      <c r="L354" s="79"/>
      <c r="M354" s="79"/>
    </row>
    <row r="355" spans="1:26" ht="13.8" thickBot="1" x14ac:dyDescent="0.3">
      <c r="B355" s="214" t="s">
        <v>357</v>
      </c>
      <c r="C355" s="72"/>
      <c r="D355" s="72"/>
      <c r="E355" s="72"/>
      <c r="F355" s="74"/>
      <c r="G355" s="74"/>
      <c r="H355" s="73"/>
      <c r="I355" s="73"/>
      <c r="J355" s="79"/>
      <c r="K355" s="79"/>
      <c r="L355" s="79"/>
      <c r="M355" s="79"/>
    </row>
    <row r="356" spans="1:26" ht="13.8" thickBot="1" x14ac:dyDescent="0.3">
      <c r="B356" s="72"/>
      <c r="C356" s="72" t="s">
        <v>413</v>
      </c>
      <c r="D356" s="79"/>
      <c r="E356" s="72"/>
      <c r="F356" s="119">
        <v>3.3</v>
      </c>
      <c r="G356" s="74" t="s">
        <v>20</v>
      </c>
      <c r="H356" s="99">
        <v>16.8</v>
      </c>
      <c r="I356" s="73" t="s">
        <v>5</v>
      </c>
      <c r="J356" s="79">
        <f>F356*H356</f>
        <v>55.44</v>
      </c>
      <c r="K356" s="72" t="s">
        <v>14</v>
      </c>
      <c r="L356" s="79"/>
      <c r="M356" s="79"/>
    </row>
    <row r="357" spans="1:26" ht="13.8" thickBot="1" x14ac:dyDescent="0.3">
      <c r="B357" s="72"/>
      <c r="C357" s="72" t="s">
        <v>326</v>
      </c>
      <c r="D357" s="72"/>
      <c r="E357" s="72"/>
      <c r="F357" s="119"/>
      <c r="G357" s="74" t="s">
        <v>20</v>
      </c>
      <c r="H357" s="99"/>
      <c r="I357" s="73" t="s">
        <v>5</v>
      </c>
      <c r="J357" s="79">
        <f t="shared" ref="J357:J358" si="31">F357*H357</f>
        <v>0</v>
      </c>
      <c r="K357" s="72" t="s">
        <v>14</v>
      </c>
      <c r="L357" s="79"/>
      <c r="M357" s="79"/>
    </row>
    <row r="358" spans="1:26" ht="13.8" thickBot="1" x14ac:dyDescent="0.3">
      <c r="B358" s="72"/>
      <c r="C358" s="72" t="s">
        <v>326</v>
      </c>
      <c r="D358" s="72"/>
      <c r="E358" s="72"/>
      <c r="F358" s="119"/>
      <c r="G358" s="74" t="s">
        <v>20</v>
      </c>
      <c r="H358" s="99"/>
      <c r="I358" s="73" t="s">
        <v>5</v>
      </c>
      <c r="J358" s="79">
        <f t="shared" si="31"/>
        <v>0</v>
      </c>
      <c r="K358" s="72" t="s">
        <v>14</v>
      </c>
      <c r="L358" s="79"/>
      <c r="M358" s="79"/>
    </row>
    <row r="359" spans="1:26" x14ac:dyDescent="0.25">
      <c r="B359" s="72"/>
      <c r="C359" s="72"/>
      <c r="D359" s="72"/>
      <c r="E359" s="72"/>
      <c r="F359" s="212"/>
      <c r="G359" s="74"/>
      <c r="H359" s="213"/>
      <c r="I359" s="73"/>
      <c r="J359" s="79"/>
      <c r="K359" s="72"/>
      <c r="L359" s="79"/>
      <c r="M359" s="79"/>
    </row>
    <row r="360" spans="1:26" ht="13.8" thickBot="1" x14ac:dyDescent="0.3">
      <c r="B360" s="214" t="s">
        <v>358</v>
      </c>
      <c r="C360" s="72"/>
      <c r="D360" s="72"/>
      <c r="E360" s="72"/>
      <c r="F360" s="212"/>
      <c r="G360" s="74"/>
      <c r="H360" s="213"/>
      <c r="I360" s="73"/>
      <c r="J360" s="79"/>
      <c r="K360" s="72"/>
      <c r="L360" s="79"/>
      <c r="M360" s="79"/>
    </row>
    <row r="361" spans="1:26" ht="13.8" thickBot="1" x14ac:dyDescent="0.3">
      <c r="B361" s="72"/>
      <c r="C361" s="72" t="s">
        <v>326</v>
      </c>
      <c r="D361" s="72"/>
      <c r="E361" s="72"/>
      <c r="F361" s="119"/>
      <c r="G361" s="74"/>
      <c r="H361" s="119"/>
      <c r="I361" s="73"/>
      <c r="J361" s="79"/>
      <c r="K361" s="72" t="s">
        <v>14</v>
      </c>
      <c r="L361" s="79"/>
      <c r="M361" s="79"/>
    </row>
    <row r="362" spans="1:26" ht="13.8" thickBot="1" x14ac:dyDescent="0.3">
      <c r="B362" s="72"/>
      <c r="C362" s="72" t="s">
        <v>326</v>
      </c>
      <c r="D362" s="72"/>
      <c r="E362" s="72"/>
      <c r="F362" s="119"/>
      <c r="G362" s="74"/>
      <c r="H362" s="119"/>
      <c r="I362" s="73"/>
      <c r="J362" s="79"/>
      <c r="K362" s="72" t="s">
        <v>14</v>
      </c>
      <c r="L362" s="79"/>
      <c r="M362" s="79"/>
    </row>
    <row r="363" spans="1:26" ht="13.8" thickBot="1" x14ac:dyDescent="0.3">
      <c r="B363" s="72"/>
      <c r="C363" s="72" t="s">
        <v>326</v>
      </c>
      <c r="D363" s="72"/>
      <c r="E363" s="72"/>
      <c r="F363" s="119"/>
      <c r="G363" s="74"/>
      <c r="H363" s="119"/>
      <c r="I363" s="73"/>
      <c r="J363" s="79"/>
      <c r="K363" s="72" t="s">
        <v>14</v>
      </c>
      <c r="L363" s="79"/>
      <c r="M363" s="79"/>
    </row>
    <row r="364" spans="1:26" x14ac:dyDescent="0.25">
      <c r="B364" s="241"/>
      <c r="C364" s="241" t="s">
        <v>196</v>
      </c>
      <c r="D364" s="241"/>
      <c r="E364" s="241"/>
      <c r="F364" s="273"/>
      <c r="G364" s="242"/>
      <c r="H364" s="273"/>
      <c r="I364" s="243"/>
      <c r="J364" s="241">
        <f>SUM(J356:J363)</f>
        <v>55.44</v>
      </c>
      <c r="K364" s="241" t="s">
        <v>14</v>
      </c>
      <c r="L364" s="241"/>
      <c r="M364" s="241"/>
    </row>
    <row r="365" spans="1:26" s="8" customFormat="1" x14ac:dyDescent="0.25">
      <c r="A365" s="586"/>
      <c r="B365" s="72"/>
      <c r="C365" s="72"/>
      <c r="D365" s="75"/>
      <c r="E365" s="72"/>
      <c r="F365" s="72"/>
      <c r="G365" s="74"/>
      <c r="H365" s="73"/>
      <c r="I365" s="73"/>
      <c r="J365" s="73"/>
      <c r="K365" s="79"/>
      <c r="L365" s="79"/>
      <c r="M365" s="79"/>
      <c r="N365"/>
      <c r="O365"/>
      <c r="P365"/>
      <c r="Q365"/>
      <c r="R365"/>
      <c r="S365"/>
      <c r="T365"/>
      <c r="U365"/>
      <c r="Y365"/>
      <c r="Z365"/>
    </row>
    <row r="366" spans="1:26" x14ac:dyDescent="0.25">
      <c r="A366" s="591"/>
      <c r="B366" s="535"/>
      <c r="C366" s="535"/>
      <c r="D366" s="547"/>
      <c r="E366" s="535"/>
      <c r="F366" s="535"/>
      <c r="G366" s="539"/>
      <c r="H366" s="537"/>
      <c r="I366" s="537"/>
      <c r="J366" s="537"/>
      <c r="K366" s="534"/>
      <c r="L366" s="534"/>
      <c r="M366" s="534"/>
      <c r="N366" s="8"/>
      <c r="O366" s="8"/>
      <c r="P366" s="8"/>
      <c r="Q366" s="8"/>
      <c r="R366" s="8"/>
      <c r="S366" s="8"/>
      <c r="T366" s="8"/>
      <c r="U366" s="8"/>
      <c r="Y366" s="8"/>
      <c r="Z366" s="8"/>
    </row>
    <row r="367" spans="1:26" s="5" customFormat="1" ht="28.05" customHeight="1" x14ac:dyDescent="0.3">
      <c r="A367" s="591"/>
      <c r="B367" s="219" t="s">
        <v>461</v>
      </c>
      <c r="C367" s="220"/>
      <c r="D367" s="220"/>
      <c r="E367" s="220"/>
      <c r="F367" s="964" t="s">
        <v>159</v>
      </c>
      <c r="G367" s="964"/>
      <c r="H367" s="964" t="s">
        <v>158</v>
      </c>
      <c r="I367" s="964"/>
      <c r="J367" s="964" t="s">
        <v>273</v>
      </c>
      <c r="K367" s="964"/>
      <c r="L367" s="222"/>
      <c r="M367" s="222"/>
      <c r="P367"/>
      <c r="Q367"/>
      <c r="R367"/>
      <c r="S367"/>
      <c r="T367"/>
      <c r="U367"/>
      <c r="Y367"/>
      <c r="Z367"/>
    </row>
    <row r="368" spans="1:26" ht="13.8" thickBot="1" x14ac:dyDescent="0.3">
      <c r="B368" s="220"/>
      <c r="C368" s="220"/>
      <c r="D368" s="220"/>
      <c r="E368" s="220"/>
      <c r="F368" s="220"/>
      <c r="G368" s="220"/>
      <c r="H368" s="221"/>
      <c r="I368" s="221"/>
      <c r="J368" s="222"/>
      <c r="K368" s="222"/>
      <c r="L368" s="222"/>
      <c r="M368" s="222"/>
      <c r="N368" s="5"/>
      <c r="O368" s="5"/>
      <c r="P368" s="5"/>
      <c r="Q368" s="5"/>
      <c r="R368" s="5"/>
      <c r="S368" s="5"/>
      <c r="T368" s="5"/>
      <c r="U368" s="5"/>
      <c r="Y368" s="5"/>
      <c r="Z368" s="5"/>
    </row>
    <row r="369" spans="1:26" ht="13.8" thickBot="1" x14ac:dyDescent="0.3">
      <c r="B369" s="220"/>
      <c r="C369" s="220" t="s">
        <v>519</v>
      </c>
      <c r="D369" s="222"/>
      <c r="E369" s="220"/>
      <c r="F369" s="96">
        <v>2</v>
      </c>
      <c r="G369" s="220" t="s">
        <v>0</v>
      </c>
      <c r="H369" s="99">
        <v>62</v>
      </c>
      <c r="I369" s="221" t="s">
        <v>11</v>
      </c>
      <c r="J369" s="223">
        <f t="shared" ref="J369:J371" si="32">F369*H369</f>
        <v>124</v>
      </c>
      <c r="K369" s="220" t="s">
        <v>14</v>
      </c>
      <c r="L369" s="222"/>
      <c r="M369" s="222"/>
    </row>
    <row r="370" spans="1:26" ht="13.8" thickBot="1" x14ac:dyDescent="0.3">
      <c r="B370" s="220"/>
      <c r="C370" s="220" t="s">
        <v>294</v>
      </c>
      <c r="D370" s="220"/>
      <c r="E370" s="220"/>
      <c r="F370" s="96"/>
      <c r="G370" s="220" t="s">
        <v>0</v>
      </c>
      <c r="H370" s="99"/>
      <c r="I370" s="221" t="s">
        <v>14</v>
      </c>
      <c r="J370" s="223">
        <f t="shared" si="32"/>
        <v>0</v>
      </c>
      <c r="K370" s="220" t="s">
        <v>14</v>
      </c>
      <c r="L370" s="222"/>
      <c r="M370" s="222"/>
    </row>
    <row r="371" spans="1:26" ht="13.8" thickBot="1" x14ac:dyDescent="0.3">
      <c r="B371" s="220"/>
      <c r="C371" s="220" t="s">
        <v>294</v>
      </c>
      <c r="D371" s="220"/>
      <c r="E371" s="220"/>
      <c r="F371" s="96"/>
      <c r="G371" s="220" t="s">
        <v>0</v>
      </c>
      <c r="H371" s="99"/>
      <c r="I371" s="221" t="s">
        <v>14</v>
      </c>
      <c r="J371" s="223">
        <f t="shared" si="32"/>
        <v>0</v>
      </c>
      <c r="K371" s="220" t="s">
        <v>14</v>
      </c>
      <c r="L371" s="222"/>
      <c r="M371" s="222"/>
    </row>
    <row r="372" spans="1:26" x14ac:dyDescent="0.25">
      <c r="B372" s="255"/>
      <c r="C372" s="255" t="s">
        <v>196</v>
      </c>
      <c r="D372" s="255"/>
      <c r="E372" s="255"/>
      <c r="F372" s="256"/>
      <c r="G372" s="255"/>
      <c r="H372" s="257"/>
      <c r="I372" s="258"/>
      <c r="J372" s="259">
        <f>SUM(J369:J371)</f>
        <v>124</v>
      </c>
      <c r="K372" s="255" t="s">
        <v>14</v>
      </c>
      <c r="L372" s="255"/>
      <c r="M372" s="255"/>
    </row>
    <row r="373" spans="1:26" s="8" customFormat="1" x14ac:dyDescent="0.25">
      <c r="A373" s="586"/>
      <c r="B373" s="220"/>
      <c r="C373" s="220"/>
      <c r="D373" s="220"/>
      <c r="E373" s="220"/>
      <c r="F373" s="220"/>
      <c r="G373" s="220"/>
      <c r="H373" s="221"/>
      <c r="I373" s="221"/>
      <c r="J373" s="223"/>
      <c r="K373" s="220"/>
      <c r="L373" s="222"/>
      <c r="M373" s="222"/>
      <c r="N373"/>
      <c r="O373"/>
      <c r="P373"/>
      <c r="Q373"/>
      <c r="R373"/>
      <c r="S373"/>
      <c r="T373"/>
      <c r="U373"/>
      <c r="Y373"/>
      <c r="Z373"/>
    </row>
    <row r="374" spans="1:26" x14ac:dyDescent="0.25">
      <c r="N374" s="8"/>
      <c r="O374" s="8"/>
      <c r="P374" s="8"/>
      <c r="Q374" s="8"/>
      <c r="R374" s="8"/>
      <c r="S374" s="8"/>
      <c r="T374" s="8"/>
      <c r="U374" s="8"/>
      <c r="Y374" s="8"/>
      <c r="Z374" s="8"/>
    </row>
    <row r="375" spans="1:26" ht="33" customHeight="1" x14ac:dyDescent="0.3">
      <c r="B375" s="225" t="s">
        <v>462</v>
      </c>
      <c r="C375" s="226"/>
      <c r="D375" s="226"/>
      <c r="E375" s="227"/>
      <c r="F375" s="226" t="s">
        <v>159</v>
      </c>
      <c r="G375" s="228"/>
      <c r="H375" s="228" t="s">
        <v>158</v>
      </c>
      <c r="I375" s="226"/>
      <c r="J375" s="226"/>
      <c r="K375" s="229"/>
      <c r="L375" s="229"/>
      <c r="M375" s="229"/>
    </row>
    <row r="376" spans="1:26" ht="16.2" thickBot="1" x14ac:dyDescent="0.35">
      <c r="B376" s="225"/>
      <c r="C376" s="226"/>
      <c r="D376" s="226"/>
      <c r="E376" s="227"/>
      <c r="F376" s="226"/>
      <c r="G376" s="228"/>
      <c r="H376" s="228"/>
      <c r="I376" s="226"/>
      <c r="J376" s="226"/>
      <c r="K376" s="229"/>
      <c r="L376" s="229"/>
      <c r="M376" s="229"/>
    </row>
    <row r="377" spans="1:26" ht="13.8" thickBot="1" x14ac:dyDescent="0.3">
      <c r="B377" s="226"/>
      <c r="C377" s="226" t="s">
        <v>463</v>
      </c>
      <c r="D377" s="229"/>
      <c r="E377" s="230"/>
      <c r="F377" s="96"/>
      <c r="G377" s="231" t="s">
        <v>18</v>
      </c>
      <c r="H377" s="96"/>
      <c r="I377" s="232" t="s">
        <v>10</v>
      </c>
      <c r="J377" s="229">
        <f>H377*F377</f>
        <v>0</v>
      </c>
      <c r="K377" s="232" t="s">
        <v>14</v>
      </c>
      <c r="L377" s="229"/>
      <c r="M377" s="229"/>
    </row>
    <row r="378" spans="1:26" ht="13.8" thickBot="1" x14ac:dyDescent="0.3">
      <c r="B378" s="226"/>
      <c r="C378" s="226" t="s">
        <v>450</v>
      </c>
      <c r="D378" s="232">
        <f>F397/2</f>
        <v>1</v>
      </c>
      <c r="E378" s="226" t="s">
        <v>9</v>
      </c>
      <c r="F378" s="96">
        <f>+D378*8</f>
        <v>8</v>
      </c>
      <c r="G378" s="228" t="s">
        <v>20</v>
      </c>
      <c r="H378" s="96">
        <v>0.83</v>
      </c>
      <c r="I378" s="232" t="s">
        <v>5</v>
      </c>
      <c r="J378" s="229">
        <f>H378*F378</f>
        <v>6.64</v>
      </c>
      <c r="K378" s="232" t="s">
        <v>14</v>
      </c>
      <c r="L378" s="229"/>
      <c r="M378" s="229"/>
    </row>
    <row r="379" spans="1:26" ht="13.8" thickBot="1" x14ac:dyDescent="0.3">
      <c r="B379" s="226"/>
      <c r="C379" s="226" t="s">
        <v>298</v>
      </c>
      <c r="D379" s="232">
        <f>D378</f>
        <v>1</v>
      </c>
      <c r="E379" s="226" t="s">
        <v>9</v>
      </c>
      <c r="F379" s="96">
        <v>11.88</v>
      </c>
      <c r="G379" s="228" t="s">
        <v>21</v>
      </c>
      <c r="H379" s="96">
        <v>4</v>
      </c>
      <c r="I379" s="232" t="s">
        <v>6</v>
      </c>
      <c r="J379" s="229">
        <f t="shared" ref="J379:J383" si="33">H379*F379</f>
        <v>47.52</v>
      </c>
      <c r="K379" s="232" t="s">
        <v>14</v>
      </c>
      <c r="L379" s="229"/>
      <c r="M379" s="229"/>
    </row>
    <row r="380" spans="1:26" ht="13.8" thickBot="1" x14ac:dyDescent="0.3">
      <c r="B380" s="226"/>
      <c r="C380" s="226" t="s">
        <v>19</v>
      </c>
      <c r="D380" s="229"/>
      <c r="E380" s="232"/>
      <c r="F380" s="96"/>
      <c r="G380" s="228" t="s">
        <v>20</v>
      </c>
      <c r="H380" s="96">
        <v>1.53</v>
      </c>
      <c r="I380" s="232" t="s">
        <v>5</v>
      </c>
      <c r="J380" s="229">
        <f t="shared" si="33"/>
        <v>0</v>
      </c>
      <c r="K380" s="232" t="s">
        <v>14</v>
      </c>
      <c r="L380" s="229"/>
      <c r="M380" s="229"/>
    </row>
    <row r="381" spans="1:26" ht="13.8" thickBot="1" x14ac:dyDescent="0.3">
      <c r="B381" s="226"/>
      <c r="C381" s="226" t="s">
        <v>299</v>
      </c>
      <c r="D381" s="229"/>
      <c r="E381" s="232"/>
      <c r="F381" s="96"/>
      <c r="G381" s="228" t="s">
        <v>20</v>
      </c>
      <c r="H381" s="96">
        <v>1.6</v>
      </c>
      <c r="I381" s="232" t="s">
        <v>5</v>
      </c>
      <c r="J381" s="229">
        <f t="shared" si="33"/>
        <v>0</v>
      </c>
      <c r="K381" s="232" t="s">
        <v>14</v>
      </c>
      <c r="L381" s="229"/>
      <c r="M381" s="229"/>
    </row>
    <row r="382" spans="1:26" ht="13.8" thickBot="1" x14ac:dyDescent="0.3">
      <c r="B382" s="226"/>
      <c r="C382" s="226" t="s">
        <v>300</v>
      </c>
      <c r="D382" s="229"/>
      <c r="E382" s="232"/>
      <c r="F382" s="96"/>
      <c r="G382" s="228"/>
      <c r="H382" s="96"/>
      <c r="I382" s="232"/>
      <c r="J382" s="229">
        <f t="shared" si="33"/>
        <v>0</v>
      </c>
      <c r="K382" s="232" t="s">
        <v>14</v>
      </c>
      <c r="L382" s="229"/>
      <c r="M382" s="229"/>
    </row>
    <row r="383" spans="1:26" ht="13.8" thickBot="1" x14ac:dyDescent="0.3">
      <c r="B383" s="229"/>
      <c r="C383" s="226" t="s">
        <v>300</v>
      </c>
      <c r="D383" s="229"/>
      <c r="E383" s="229"/>
      <c r="F383" s="96"/>
      <c r="G383" s="229"/>
      <c r="H383" s="96"/>
      <c r="I383" s="229"/>
      <c r="J383" s="229">
        <f t="shared" si="33"/>
        <v>0</v>
      </c>
      <c r="K383" s="232" t="s">
        <v>14</v>
      </c>
      <c r="L383" s="229"/>
      <c r="M383" s="229"/>
    </row>
    <row r="384" spans="1:26" x14ac:dyDescent="0.25">
      <c r="B384" s="260"/>
      <c r="C384" s="260" t="s">
        <v>196</v>
      </c>
      <c r="D384" s="260"/>
      <c r="E384" s="260"/>
      <c r="F384" s="261"/>
      <c r="G384" s="260"/>
      <c r="H384" s="261"/>
      <c r="I384" s="260"/>
      <c r="J384" s="260">
        <f>SUM(J377:J383)</f>
        <v>54.160000000000004</v>
      </c>
      <c r="K384" s="262" t="s">
        <v>14</v>
      </c>
      <c r="L384" s="260"/>
      <c r="M384" s="260"/>
    </row>
    <row r="385" spans="1:26" s="8" customFormat="1" x14ac:dyDescent="0.25">
      <c r="A385" s="586"/>
      <c r="B385" s="229"/>
      <c r="C385" s="229"/>
      <c r="D385" s="229"/>
      <c r="E385" s="229"/>
      <c r="F385" s="229"/>
      <c r="G385" s="229"/>
      <c r="H385" s="229"/>
      <c r="I385" s="229"/>
      <c r="J385" s="229"/>
      <c r="K385" s="229"/>
      <c r="L385" s="229"/>
      <c r="M385" s="229"/>
      <c r="N385"/>
      <c r="O385"/>
      <c r="P385"/>
      <c r="Q385"/>
      <c r="R385"/>
      <c r="S385"/>
      <c r="T385"/>
      <c r="U385"/>
      <c r="Y385"/>
      <c r="Z385"/>
    </row>
    <row r="386" spans="1:26" x14ac:dyDescent="0.25">
      <c r="N386" s="8"/>
      <c r="O386" s="8"/>
      <c r="P386" s="8"/>
      <c r="Q386" s="8"/>
      <c r="R386" s="8"/>
      <c r="S386" s="8"/>
      <c r="T386" s="8"/>
      <c r="U386" s="8"/>
      <c r="Y386" s="8"/>
      <c r="Z386" s="8"/>
    </row>
    <row r="387" spans="1:26" ht="40.049999999999997" customHeight="1" x14ac:dyDescent="0.3">
      <c r="B387" s="112" t="s">
        <v>520</v>
      </c>
      <c r="C387" s="101"/>
      <c r="D387" s="101"/>
      <c r="E387" s="101"/>
      <c r="F387" s="101"/>
      <c r="G387" s="101"/>
      <c r="H387" s="101"/>
      <c r="I387" s="101"/>
      <c r="J387" s="101"/>
      <c r="K387" s="101"/>
      <c r="L387" s="101"/>
      <c r="M387" s="101"/>
    </row>
    <row r="388" spans="1:26" ht="15.6" x14ac:dyDescent="0.3">
      <c r="B388" s="112"/>
      <c r="C388" s="101"/>
      <c r="D388" s="101"/>
      <c r="E388" s="101"/>
      <c r="F388" s="101"/>
      <c r="G388" s="101"/>
      <c r="H388" s="101"/>
      <c r="I388" s="101"/>
      <c r="J388" s="101"/>
      <c r="K388" s="101"/>
      <c r="L388" s="101"/>
      <c r="M388" s="101"/>
    </row>
    <row r="389" spans="1:26" ht="30" customHeight="1" x14ac:dyDescent="0.25">
      <c r="B389" s="961" t="s">
        <v>302</v>
      </c>
      <c r="C389" s="961"/>
      <c r="D389" s="961"/>
      <c r="E389" s="961"/>
      <c r="F389" s="961"/>
      <c r="G389" s="961"/>
      <c r="H389" s="961"/>
      <c r="I389" s="961"/>
      <c r="J389" s="961"/>
      <c r="K389" s="961"/>
      <c r="L389" s="961"/>
      <c r="M389" s="961"/>
    </row>
    <row r="390" spans="1:26" ht="37.950000000000003" customHeight="1" x14ac:dyDescent="0.3">
      <c r="B390" s="112"/>
      <c r="C390" s="101"/>
      <c r="D390" s="101"/>
      <c r="E390" s="834"/>
      <c r="F390" s="834"/>
      <c r="G390" s="834"/>
      <c r="H390" s="835"/>
      <c r="I390" s="835"/>
      <c r="J390" s="834"/>
      <c r="K390" s="834"/>
      <c r="L390" s="835"/>
      <c r="M390" s="835"/>
    </row>
    <row r="391" spans="1:26" ht="15.6" x14ac:dyDescent="0.3">
      <c r="B391" s="112"/>
      <c r="C391" s="101"/>
      <c r="D391" s="101"/>
      <c r="E391" s="962" t="s">
        <v>303</v>
      </c>
      <c r="F391" s="962"/>
      <c r="G391" s="962"/>
      <c r="H391" s="963" t="s">
        <v>158</v>
      </c>
      <c r="I391" s="963"/>
      <c r="J391" s="963" t="s">
        <v>304</v>
      </c>
      <c r="K391" s="963"/>
      <c r="L391" s="963" t="s">
        <v>158</v>
      </c>
      <c r="M391" s="963"/>
    </row>
    <row r="392" spans="1:26" ht="15.6" thickBot="1" x14ac:dyDescent="0.3">
      <c r="B392" s="100"/>
      <c r="C392" s="101"/>
      <c r="D392" s="101"/>
      <c r="E392" s="101"/>
      <c r="F392" s="101"/>
      <c r="G392" s="101"/>
      <c r="H392" s="101"/>
      <c r="I392" s="101"/>
      <c r="J392" s="101"/>
      <c r="K392" s="101"/>
      <c r="L392" s="101"/>
      <c r="M392" s="101"/>
    </row>
    <row r="393" spans="1:26" ht="13.8" thickBot="1" x14ac:dyDescent="0.3">
      <c r="B393" s="101"/>
      <c r="C393" s="102" t="s">
        <v>317</v>
      </c>
      <c r="D393" s="101"/>
      <c r="E393" s="101"/>
      <c r="F393" s="115">
        <v>2</v>
      </c>
      <c r="G393" s="104" t="s">
        <v>22</v>
      </c>
      <c r="H393" s="114">
        <f t="shared" ref="H393:H396" si="34">$H$163</f>
        <v>14.5</v>
      </c>
      <c r="I393" s="104" t="s">
        <v>11</v>
      </c>
      <c r="J393" s="116"/>
      <c r="K393" s="104" t="s">
        <v>22</v>
      </c>
      <c r="L393" s="114">
        <f t="shared" ref="L393:L396" si="35">$L$163</f>
        <v>14.5</v>
      </c>
      <c r="M393" s="104" t="s">
        <v>11</v>
      </c>
    </row>
    <row r="394" spans="1:26" ht="13.8" thickBot="1" x14ac:dyDescent="0.3">
      <c r="B394" s="101"/>
      <c r="C394" s="102" t="s">
        <v>431</v>
      </c>
      <c r="D394" s="101"/>
      <c r="E394" s="101"/>
      <c r="F394" s="116"/>
      <c r="G394" s="104" t="s">
        <v>22</v>
      </c>
      <c r="H394" s="114">
        <f t="shared" si="34"/>
        <v>14.5</v>
      </c>
      <c r="I394" s="104" t="s">
        <v>11</v>
      </c>
      <c r="J394" s="97"/>
      <c r="K394" s="104" t="s">
        <v>22</v>
      </c>
      <c r="L394" s="114">
        <f t="shared" si="35"/>
        <v>14.5</v>
      </c>
      <c r="M394" s="104" t="s">
        <v>11</v>
      </c>
    </row>
    <row r="395" spans="1:26" ht="13.8" thickBot="1" x14ac:dyDescent="0.3">
      <c r="B395" s="101"/>
      <c r="C395" s="102" t="s">
        <v>431</v>
      </c>
      <c r="D395" s="101"/>
      <c r="E395" s="101"/>
      <c r="F395" s="116"/>
      <c r="G395" s="104" t="s">
        <v>22</v>
      </c>
      <c r="H395" s="114">
        <f t="shared" si="34"/>
        <v>14.5</v>
      </c>
      <c r="I395" s="104" t="s">
        <v>11</v>
      </c>
      <c r="J395" s="97"/>
      <c r="K395" s="104" t="s">
        <v>22</v>
      </c>
      <c r="L395" s="114">
        <f t="shared" si="35"/>
        <v>14.5</v>
      </c>
      <c r="M395" s="104" t="s">
        <v>11</v>
      </c>
    </row>
    <row r="396" spans="1:26" ht="13.8" thickBot="1" x14ac:dyDescent="0.3">
      <c r="B396" s="101"/>
      <c r="C396" s="102" t="s">
        <v>431</v>
      </c>
      <c r="D396" s="103"/>
      <c r="E396" s="103"/>
      <c r="F396" s="97"/>
      <c r="G396" s="104" t="s">
        <v>22</v>
      </c>
      <c r="H396" s="114">
        <f t="shared" si="34"/>
        <v>14.5</v>
      </c>
      <c r="I396" s="104" t="s">
        <v>11</v>
      </c>
      <c r="J396" s="97"/>
      <c r="K396" s="104" t="s">
        <v>22</v>
      </c>
      <c r="L396" s="114">
        <f t="shared" si="35"/>
        <v>14.5</v>
      </c>
      <c r="M396" s="104" t="s">
        <v>11</v>
      </c>
    </row>
    <row r="397" spans="1:26" x14ac:dyDescent="0.25">
      <c r="B397" s="264"/>
      <c r="C397" s="265" t="s">
        <v>196</v>
      </c>
      <c r="D397" s="266"/>
      <c r="E397" s="266"/>
      <c r="F397" s="267">
        <f>SUM(F393:F396)</f>
        <v>2</v>
      </c>
      <c r="G397" s="264" t="s">
        <v>22</v>
      </c>
      <c r="H397" s="268">
        <f>F397*H163</f>
        <v>29</v>
      </c>
      <c r="I397" s="264" t="s">
        <v>14</v>
      </c>
      <c r="J397" s="269">
        <f>SUM(J393:J396)</f>
        <v>0</v>
      </c>
      <c r="K397" s="264" t="s">
        <v>22</v>
      </c>
      <c r="L397" s="268">
        <f>J397*L163</f>
        <v>0</v>
      </c>
      <c r="M397" s="264" t="s">
        <v>14</v>
      </c>
    </row>
    <row r="398" spans="1:26" s="8" customFormat="1" x14ac:dyDescent="0.25">
      <c r="A398" s="586"/>
      <c r="B398"/>
      <c r="C398"/>
      <c r="D398"/>
      <c r="E398"/>
      <c r="F398"/>
      <c r="G398"/>
      <c r="H398"/>
      <c r="I398"/>
      <c r="J398"/>
      <c r="K398"/>
      <c r="L398"/>
      <c r="M398"/>
      <c r="N398"/>
      <c r="O398"/>
      <c r="P398"/>
      <c r="Q398"/>
      <c r="R398"/>
      <c r="S398"/>
      <c r="T398"/>
      <c r="U398"/>
      <c r="Y398"/>
      <c r="Z398"/>
    </row>
    <row r="399" spans="1:26" x14ac:dyDescent="0.25">
      <c r="N399" s="8"/>
      <c r="O399" s="8"/>
      <c r="P399" s="8"/>
      <c r="Q399" s="8"/>
      <c r="R399" s="8"/>
      <c r="S399" s="8"/>
      <c r="T399" s="8"/>
      <c r="U399" s="8"/>
      <c r="Y399" s="8"/>
      <c r="Z399" s="8"/>
    </row>
  </sheetData>
  <mergeCells count="100">
    <mergeCell ref="E391:G391"/>
    <mergeCell ref="H391:I391"/>
    <mergeCell ref="J391:K391"/>
    <mergeCell ref="L391:M391"/>
    <mergeCell ref="B351:M351"/>
    <mergeCell ref="F353:G353"/>
    <mergeCell ref="H353:I353"/>
    <mergeCell ref="J353:K353"/>
    <mergeCell ref="B389:M389"/>
    <mergeCell ref="F367:G367"/>
    <mergeCell ref="H367:I367"/>
    <mergeCell ref="J367:K367"/>
    <mergeCell ref="L333:M333"/>
    <mergeCell ref="F301:G301"/>
    <mergeCell ref="H301:I301"/>
    <mergeCell ref="J301:K301"/>
    <mergeCell ref="F309:G309"/>
    <mergeCell ref="H309:I309"/>
    <mergeCell ref="J309:K309"/>
    <mergeCell ref="J194:K194"/>
    <mergeCell ref="B349:E349"/>
    <mergeCell ref="J349:L349"/>
    <mergeCell ref="F266:G266"/>
    <mergeCell ref="H266:I266"/>
    <mergeCell ref="J266:K266"/>
    <mergeCell ref="F288:G288"/>
    <mergeCell ref="H288:I288"/>
    <mergeCell ref="J288:K288"/>
    <mergeCell ref="F280:G280"/>
    <mergeCell ref="H280:I280"/>
    <mergeCell ref="J280:K280"/>
    <mergeCell ref="B331:M331"/>
    <mergeCell ref="E333:G333"/>
    <mergeCell ref="H333:I333"/>
    <mergeCell ref="J333:K333"/>
    <mergeCell ref="J181:L181"/>
    <mergeCell ref="B239:M239"/>
    <mergeCell ref="F257:G257"/>
    <mergeCell ref="L241:M241"/>
    <mergeCell ref="B255:E255"/>
    <mergeCell ref="J183:K183"/>
    <mergeCell ref="J203:K203"/>
    <mergeCell ref="H257:I257"/>
    <mergeCell ref="J257:K257"/>
    <mergeCell ref="F183:G183"/>
    <mergeCell ref="H183:I183"/>
    <mergeCell ref="E241:G241"/>
    <mergeCell ref="H241:I241"/>
    <mergeCell ref="J241:K241"/>
    <mergeCell ref="F194:G194"/>
    <mergeCell ref="H194:I194"/>
    <mergeCell ref="H114:I114"/>
    <mergeCell ref="F123:G123"/>
    <mergeCell ref="H123:I123"/>
    <mergeCell ref="J123:K123"/>
    <mergeCell ref="F217:G217"/>
    <mergeCell ref="H217:I217"/>
    <mergeCell ref="J217:K217"/>
    <mergeCell ref="B159:M159"/>
    <mergeCell ref="E161:G161"/>
    <mergeCell ref="H161:I161"/>
    <mergeCell ref="J161:K161"/>
    <mergeCell ref="L161:M161"/>
    <mergeCell ref="B181:E181"/>
    <mergeCell ref="J137:K137"/>
    <mergeCell ref="F137:G137"/>
    <mergeCell ref="H137:I137"/>
    <mergeCell ref="T9:U9"/>
    <mergeCell ref="O18:Q18"/>
    <mergeCell ref="B23:D23"/>
    <mergeCell ref="B2:C2"/>
    <mergeCell ref="B4:L4"/>
    <mergeCell ref="B11:D11"/>
    <mergeCell ref="O9:Q9"/>
    <mergeCell ref="B62:D62"/>
    <mergeCell ref="C65:D65"/>
    <mergeCell ref="B69:D69"/>
    <mergeCell ref="C72:D72"/>
    <mergeCell ref="B76:C76"/>
    <mergeCell ref="B50:E50"/>
    <mergeCell ref="B51:E51"/>
    <mergeCell ref="B52:D52"/>
    <mergeCell ref="B55:C55"/>
    <mergeCell ref="C58:D58"/>
    <mergeCell ref="F203:G203"/>
    <mergeCell ref="H203:I203"/>
    <mergeCell ref="C79:D79"/>
    <mergeCell ref="B81:D81"/>
    <mergeCell ref="J101:L101"/>
    <mergeCell ref="B84:D84"/>
    <mergeCell ref="B87:D87"/>
    <mergeCell ref="B95:D95"/>
    <mergeCell ref="B99:D99"/>
    <mergeCell ref="B101:E101"/>
    <mergeCell ref="B97:D97"/>
    <mergeCell ref="J114:K114"/>
    <mergeCell ref="F103:G103"/>
    <mergeCell ref="H103:I103"/>
    <mergeCell ref="J103:K103"/>
    <mergeCell ref="F114:G114"/>
  </mergeCells>
  <hyperlinks>
    <hyperlink ref="B2" location="Tilakokonaisuus!A1" display="PALAA ETUSIVULLE" xr:uid="{2E554F28-9752-F044-B487-8FE3D4109AC3}"/>
    <hyperlink ref="B2:C2" location="'Gårdens info'!A1" display="TILL FRAMSIDAN" xr:uid="{01D9555F-1405-AB40-AF69-6A6626C92E80}"/>
    <hyperlink ref="B32" location="'Svarta vinbär'!B190" display="SKÖRDEÅRENS KOSTNADER" xr:uid="{6DDD83C5-AB91-4240-8180-B1473B2A0510}"/>
    <hyperlink ref="B43" location="'Svarta vinbär'!B355" display="RÖJNINGSÅRETS KOSTNADER" xr:uid="{1E8AABF3-0F8D-A247-BBFC-111099463B5C}"/>
    <hyperlink ref="B84" location="'Avomaan mansikka'!B41" display="PERUSTAMISVUODEN KUSTANNUKSET" xr:uid="{BFA02917-13F9-1A4F-B5FE-A3FD2EB253AC}"/>
    <hyperlink ref="B84:D84" location="'Svarta vinbär'!B176" display="ETABLERINGSÅRETS KOSTNADER" xr:uid="{E16B6EFB-C368-2F4F-B057-0DFCABAE3CCA}"/>
    <hyperlink ref="B50:E50" location="'Gårdens info'!B131" display="ALLMÄNNA KOSTNADER, svarta vinbärens andel" xr:uid="{02BA51D0-4C98-024E-B8B8-D80F810AF22D}"/>
    <hyperlink ref="B23" location="'Avomaan mansikka'!B41" display="PERUSTAMISVUODEN KUSTANNUKSET" xr:uid="{D8263846-B539-2F43-A514-D70E19DC201C}"/>
    <hyperlink ref="B23:D23" location="'Svarta vinbär'!B112" display="ETABLERINGSÅRETS KOSTNADER" xr:uid="{E3BA6A13-ECA2-264E-B777-666B74D5AE0C}"/>
    <hyperlink ref="B87" location="'Avomaan mansikka'!B41" display="PERUSTAMISVUODEN KUSTANNUKSET" xr:uid="{33D37527-D20C-DA4D-B558-4D8C62972A75}"/>
    <hyperlink ref="B87:D87" location="'Svarta vinbär'!B242" display="FÖRODLINGSÅRENS KOSTNADER" xr:uid="{56E5A470-1A6E-F84C-843C-FD6660F35ED7}"/>
    <hyperlink ref="B90" location="'Svarta vinbär'!B340" display="SKÖRDEÅRENS KOSTNADER" xr:uid="{F6F3ECFA-29F2-DA40-8973-5C58EE713C8D}"/>
    <hyperlink ref="B93" location="'Svarta vinbär'!H392" display="RÖJNINGSÅRETS KOSTNADER" xr:uid="{2F1D1B5D-93A6-7844-8580-6C903E3BB689}"/>
    <hyperlink ref="J255" location="'Svarta vinbär'!A1" display="TILL SIDANS BÖRJAN" xr:uid="{CF61F83C-7EC2-4C44-9105-122E1BC9CA56}"/>
    <hyperlink ref="J349:L349" location="'Svarta vinbär'!A1" display="TILL SIDANS BÖRJAN" xr:uid="{D63A5C56-A7AE-7249-A058-4C23595C1472}"/>
    <hyperlink ref="J181:L181" location="'Svarta vinbär'!A1" display="TILL SIDANS BÖRJAN" xr:uid="{641876B8-1534-B343-9055-11DD796C1912}"/>
    <hyperlink ref="J101:L101" location="'Svarta vinbär'!A1" display="TILL SIDANS BÖRJAN" xr:uid="{44FC288D-2146-5B4D-960C-9D4BCFE57CB6}"/>
    <hyperlink ref="B55:C55" location="Ägendom!B15" display="BYGGNADER" xr:uid="{04AAF2B9-0165-4905-81FD-8366E8E6E3F3}"/>
    <hyperlink ref="B62:D62" location="Ägendom!B28" display="MASINER OCH UTRUSTNING" xr:uid="{651A87D9-1D28-405D-BACC-862346B8315D}"/>
    <hyperlink ref="B69:D69" location="Ägendom!B51" display="LÅNGVARIGA PRODUKTIONSMEDEL" xr:uid="{57FED28D-73C9-42C2-9662-48EF2FEFA88A}"/>
    <hyperlink ref="B76:C76" location="Ägendom!B70" display="TÄCKDIKEN" xr:uid="{2A86B08A-080C-4A39-9652-53E9472D9F00}"/>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F55A6-D651-A447-9649-D58E0CA0D23D}">
  <sheetPr>
    <tabColor theme="3" tint="0.59999389629810485"/>
  </sheetPr>
  <dimension ref="A1:Z432"/>
  <sheetViews>
    <sheetView zoomScaleNormal="100" workbookViewId="0">
      <selection activeCell="B12" sqref="B12"/>
    </sheetView>
  </sheetViews>
  <sheetFormatPr defaultColWidth="11.44140625" defaultRowHeight="13.2" x14ac:dyDescent="0.25"/>
  <cols>
    <col min="1" max="1" width="5.33203125" style="426" customWidth="1"/>
    <col min="3" max="3" width="16.77734375" customWidth="1"/>
    <col min="4" max="4" width="22.6640625" customWidth="1"/>
    <col min="5" max="5" width="12.109375" bestFit="1" customWidth="1"/>
    <col min="7" max="7" width="6.33203125" customWidth="1"/>
    <col min="9" max="9" width="6" customWidth="1"/>
    <col min="10" max="10" width="15.109375" customWidth="1"/>
    <col min="11" max="11" width="9.6640625" customWidth="1"/>
    <col min="12" max="12" width="20" customWidth="1"/>
    <col min="13" max="13" width="12.109375" customWidth="1"/>
    <col min="27" max="27" width="19" customWidth="1"/>
  </cols>
  <sheetData>
    <row r="1" spans="1:21" s="367" customFormat="1" ht="22.8" x14ac:dyDescent="0.4">
      <c r="A1" s="426"/>
      <c r="B1" s="368" t="s">
        <v>126</v>
      </c>
    </row>
    <row r="2" spans="1:21" ht="27" customHeight="1" x14ac:dyDescent="0.3">
      <c r="B2" s="976" t="s">
        <v>337</v>
      </c>
      <c r="C2" s="976"/>
    </row>
    <row r="3" spans="1:21" ht="27" customHeight="1" x14ac:dyDescent="0.3">
      <c r="B3" s="233"/>
      <c r="C3" s="233"/>
    </row>
    <row r="4" spans="1:21" ht="139.94999999999999" customHeight="1" x14ac:dyDescent="0.3">
      <c r="B4" s="942" t="s">
        <v>371</v>
      </c>
      <c r="C4" s="942"/>
      <c r="D4" s="942"/>
      <c r="E4" s="942"/>
      <c r="F4" s="942"/>
      <c r="G4" s="942"/>
      <c r="H4" s="942"/>
      <c r="I4" s="942"/>
      <c r="J4" s="942"/>
      <c r="K4" s="942"/>
      <c r="L4" s="942"/>
    </row>
    <row r="5" spans="1:21" ht="27" customHeight="1" thickBot="1" x14ac:dyDescent="0.35">
      <c r="B5" s="233"/>
      <c r="C5" s="233"/>
    </row>
    <row r="6" spans="1:21" ht="27" customHeight="1" x14ac:dyDescent="0.4">
      <c r="B6" s="318" t="s">
        <v>375</v>
      </c>
      <c r="C6" s="282"/>
      <c r="D6" s="283"/>
      <c r="E6" s="283"/>
      <c r="F6" s="283"/>
      <c r="G6" s="283"/>
      <c r="H6" s="283"/>
      <c r="I6" s="283"/>
      <c r="J6" s="283"/>
      <c r="K6" s="283"/>
      <c r="L6" s="283"/>
      <c r="M6" s="284"/>
      <c r="N6" s="441"/>
      <c r="O6" s="283"/>
      <c r="P6" s="283"/>
      <c r="Q6" s="283"/>
      <c r="R6" s="283"/>
      <c r="S6" s="283"/>
      <c r="T6" s="283"/>
      <c r="U6" s="284"/>
    </row>
    <row r="7" spans="1:21" ht="27" customHeight="1" x14ac:dyDescent="0.4">
      <c r="B7" s="285"/>
      <c r="C7" s="286"/>
      <c r="D7" s="148"/>
      <c r="E7" s="148"/>
      <c r="F7" s="148"/>
      <c r="G7" s="148"/>
      <c r="H7" s="148"/>
      <c r="I7" s="148"/>
      <c r="J7" s="148"/>
      <c r="K7" s="148"/>
      <c r="L7" s="148"/>
      <c r="M7" s="287"/>
      <c r="N7" s="442"/>
      <c r="O7" s="148"/>
      <c r="P7" s="148"/>
      <c r="Q7" s="148"/>
      <c r="R7" s="148"/>
      <c r="S7" s="148"/>
      <c r="T7" s="148"/>
      <c r="U7" s="287"/>
    </row>
    <row r="8" spans="1:21" ht="21" x14ac:dyDescent="0.4">
      <c r="B8" s="319" t="s">
        <v>373</v>
      </c>
      <c r="C8" s="286"/>
      <c r="D8" s="148"/>
      <c r="E8" s="151"/>
      <c r="F8" s="151"/>
      <c r="G8" s="151"/>
      <c r="H8" s="151"/>
      <c r="I8" s="148"/>
      <c r="J8" s="148"/>
      <c r="K8" s="148"/>
      <c r="L8" s="148"/>
      <c r="M8" s="287"/>
      <c r="N8" s="319" t="s">
        <v>239</v>
      </c>
      <c r="O8" s="148"/>
      <c r="P8" s="148"/>
      <c r="Q8" s="148"/>
      <c r="R8" s="148"/>
      <c r="S8" s="148"/>
      <c r="T8" s="148"/>
      <c r="U8" s="300"/>
    </row>
    <row r="9" spans="1:21" ht="16.2" thickBot="1" x14ac:dyDescent="0.35">
      <c r="B9" s="288"/>
      <c r="C9" s="289" t="s">
        <v>239</v>
      </c>
      <c r="D9" s="151"/>
      <c r="E9" s="151"/>
      <c r="F9" s="290">
        <f>IF('Gårdens info'!D27&gt;0,H9*'Gårdens info'!G27,0)</f>
        <v>53685</v>
      </c>
      <c r="G9" s="151" t="s">
        <v>14</v>
      </c>
      <c r="H9" s="619">
        <f>IF('Gårdens info'!G27&gt;0,(('Gårdens info'!G27*S10*T10)+('Gårdens info'!G27*S11*T11)+('Gårdens info'!G27*S12*T12)+('Gårdens info'!G27*S13*T13)+('Gårdens info'!G27*S14*T14)+('Gårdens info'!G27*S15*T15)+('Gårdens info'!G27*S16*T16)+('Gårdens info'!G27*S17*T17))/(('Gårdens info'!G27)),0)</f>
        <v>11.93</v>
      </c>
      <c r="I9" s="151" t="s">
        <v>6</v>
      </c>
      <c r="J9" s="290">
        <f>F9*'Gårdens info'!D27</f>
        <v>53685</v>
      </c>
      <c r="K9" s="151" t="s">
        <v>557</v>
      </c>
      <c r="L9" s="151"/>
      <c r="M9" s="287"/>
      <c r="N9" s="442"/>
      <c r="O9" s="943" t="s">
        <v>360</v>
      </c>
      <c r="P9" s="943"/>
      <c r="Q9" s="943"/>
      <c r="R9" s="443"/>
      <c r="S9" s="444" t="s">
        <v>339</v>
      </c>
      <c r="T9" s="967" t="s">
        <v>340</v>
      </c>
      <c r="U9" s="968"/>
    </row>
    <row r="10" spans="1:21" ht="15.6" thickBot="1" x14ac:dyDescent="0.3">
      <c r="B10" s="288"/>
      <c r="C10" s="151" t="s">
        <v>224</v>
      </c>
      <c r="D10" s="151"/>
      <c r="E10" s="151"/>
      <c r="F10" s="290">
        <f>IF('Gårdens info'!D27&gt;0,Stöd!J6/'Gårdens info'!D37*Stöd!L6+Stöd!J7/'Gårdens info'!D37*Stöd!L7+Stöd!J8/'Gårdens info'!D37*Stöd!L8+Stöd!J12/'Gårdens info'!D37*Stöd!L12+Stöd!J13/'Gårdens info'!D37*Stöd!L13+Stöd!J15/'Gårdens info'!D37*Stöd!L15+Stöd!J16/'Gårdens info'!D37*Stöd!L16+Stöd!J18/'Gårdens info'!D37*Stöd!L18+Stöd!J19/'Gårdens info'!D37*Stöd!L19+Stöd!J20/'Gårdens info'!D37*Stöd!L20+Stöd!J21/'Gårdens info'!D37*Stöd!L21,0)</f>
        <v>0</v>
      </c>
      <c r="G10" s="151" t="s">
        <v>14</v>
      </c>
      <c r="H10" s="619">
        <f>IF('Gårdens info'!G27&gt;0,F10/'Gårdens info'!G27,0)</f>
        <v>0</v>
      </c>
      <c r="I10" s="151" t="s">
        <v>6</v>
      </c>
      <c r="J10" s="290">
        <f>F10*'Gårdens info'!D27</f>
        <v>0</v>
      </c>
      <c r="K10" s="151" t="s">
        <v>557</v>
      </c>
      <c r="L10" s="151"/>
      <c r="M10" s="287"/>
      <c r="N10" s="442"/>
      <c r="O10" s="151">
        <v>1</v>
      </c>
      <c r="P10" s="151" t="s">
        <v>21</v>
      </c>
      <c r="Q10" s="151" t="s">
        <v>389</v>
      </c>
      <c r="R10" s="151"/>
      <c r="S10" s="452">
        <v>0.2</v>
      </c>
      <c r="T10" s="317">
        <v>11</v>
      </c>
      <c r="U10" s="300" t="s">
        <v>6</v>
      </c>
    </row>
    <row r="11" spans="1:21" s="8" customFormat="1" ht="21.6" customHeight="1" thickBot="1" x14ac:dyDescent="0.45">
      <c r="A11" s="427"/>
      <c r="B11" s="932" t="s">
        <v>240</v>
      </c>
      <c r="C11" s="933"/>
      <c r="D11" s="933"/>
      <c r="E11" s="324"/>
      <c r="F11" s="328">
        <f>F9+F10</f>
        <v>53685</v>
      </c>
      <c r="G11" s="329" t="s">
        <v>14</v>
      </c>
      <c r="H11" s="618">
        <f>H9+H10</f>
        <v>11.93</v>
      </c>
      <c r="I11" s="329" t="s">
        <v>6</v>
      </c>
      <c r="J11" s="331">
        <f>J9+J10</f>
        <v>53685</v>
      </c>
      <c r="K11" s="329" t="s">
        <v>557</v>
      </c>
      <c r="L11" s="329"/>
      <c r="M11" s="321"/>
      <c r="N11" s="445"/>
      <c r="O11" s="151">
        <v>3</v>
      </c>
      <c r="P11" s="151" t="s">
        <v>21</v>
      </c>
      <c r="Q11" s="151" t="s">
        <v>390</v>
      </c>
      <c r="R11" s="151"/>
      <c r="S11" s="454">
        <v>0</v>
      </c>
      <c r="T11" s="317"/>
      <c r="U11" s="300" t="s">
        <v>6</v>
      </c>
    </row>
    <row r="12" spans="1:21" ht="31.95" customHeight="1" thickBot="1" x14ac:dyDescent="0.45">
      <c r="B12" s="832"/>
      <c r="C12" s="833"/>
      <c r="D12" s="833"/>
      <c r="E12" s="148"/>
      <c r="F12" s="148"/>
      <c r="G12" s="148"/>
      <c r="H12" s="148"/>
      <c r="I12" s="148"/>
      <c r="J12" s="293"/>
      <c r="K12" s="148"/>
      <c r="L12" s="148"/>
      <c r="M12" s="287"/>
      <c r="N12" s="445"/>
      <c r="O12" s="151">
        <v>5</v>
      </c>
      <c r="P12" s="151" t="s">
        <v>21</v>
      </c>
      <c r="Q12" s="151" t="s">
        <v>390</v>
      </c>
      <c r="R12" s="151"/>
      <c r="S12" s="454">
        <v>0.7</v>
      </c>
      <c r="T12" s="317">
        <v>12.5</v>
      </c>
      <c r="U12" s="300" t="s">
        <v>6</v>
      </c>
    </row>
    <row r="13" spans="1:21" ht="18" thickBot="1" x14ac:dyDescent="0.35">
      <c r="B13" s="292"/>
      <c r="C13" s="286"/>
      <c r="D13" s="148"/>
      <c r="E13" s="148"/>
      <c r="F13" s="148"/>
      <c r="G13" s="148"/>
      <c r="H13" s="148"/>
      <c r="I13" s="148"/>
      <c r="J13" s="293"/>
      <c r="K13" s="148"/>
      <c r="L13" s="148"/>
      <c r="M13" s="287"/>
      <c r="N13" s="442"/>
      <c r="O13" s="151">
        <v>0.5</v>
      </c>
      <c r="P13" s="151" t="s">
        <v>21</v>
      </c>
      <c r="Q13" s="151" t="s">
        <v>391</v>
      </c>
      <c r="R13" s="151"/>
      <c r="S13" s="454">
        <v>0.1</v>
      </c>
      <c r="T13" s="317">
        <v>9.8000000000000007</v>
      </c>
      <c r="U13" s="300" t="s">
        <v>6</v>
      </c>
    </row>
    <row r="14" spans="1:21" s="77" customFormat="1" ht="21.6" thickBot="1" x14ac:dyDescent="0.45">
      <c r="A14" s="428"/>
      <c r="B14" s="319" t="s">
        <v>241</v>
      </c>
      <c r="C14" s="286"/>
      <c r="D14" s="148"/>
      <c r="E14" s="153"/>
      <c r="F14" s="153"/>
      <c r="G14" s="153"/>
      <c r="H14" s="153"/>
      <c r="I14" s="153"/>
      <c r="J14" s="294"/>
      <c r="K14" s="153"/>
      <c r="L14" s="153"/>
      <c r="M14" s="295"/>
      <c r="N14" s="442"/>
      <c r="O14" s="151">
        <v>0.25</v>
      </c>
      <c r="P14" s="151" t="s">
        <v>21</v>
      </c>
      <c r="Q14" s="151" t="s">
        <v>391</v>
      </c>
      <c r="R14" s="151"/>
      <c r="S14" s="454">
        <v>0</v>
      </c>
      <c r="T14" s="317"/>
      <c r="U14" s="300" t="s">
        <v>6</v>
      </c>
    </row>
    <row r="15" spans="1:21" s="91" customFormat="1" ht="15.6" thickBot="1" x14ac:dyDescent="0.3">
      <c r="A15" s="429"/>
      <c r="B15" s="296"/>
      <c r="C15" s="289" t="s">
        <v>385</v>
      </c>
      <c r="D15" s="297"/>
      <c r="E15" s="297"/>
      <c r="F15" s="298">
        <f>IF('Gårdens info'!$D$27&gt;0,J114/'Gårdens info'!$I$27,0)</f>
        <v>2021</v>
      </c>
      <c r="G15" s="151" t="s">
        <v>14</v>
      </c>
      <c r="H15" s="614">
        <f>IF('Gårdens info'!$G$27&gt;0,F15/'Gårdens info'!$G$27,0)</f>
        <v>0.44911111111111113</v>
      </c>
      <c r="I15" s="151" t="s">
        <v>6</v>
      </c>
      <c r="J15" s="298">
        <f>F15*'Gårdens info'!$D$27</f>
        <v>2021</v>
      </c>
      <c r="K15" s="151" t="s">
        <v>557</v>
      </c>
      <c r="L15" s="297"/>
      <c r="M15" s="300"/>
      <c r="N15" s="442"/>
      <c r="O15" s="812">
        <f>D328</f>
        <v>0</v>
      </c>
      <c r="P15" s="151" t="s">
        <v>21</v>
      </c>
      <c r="Q15" s="151" t="str">
        <f>C328</f>
        <v>Förpackning X</v>
      </c>
      <c r="R15" s="151"/>
      <c r="S15" s="454">
        <v>0</v>
      </c>
      <c r="T15" s="317"/>
      <c r="U15" s="300" t="s">
        <v>6</v>
      </c>
    </row>
    <row r="16" spans="1:21" s="91" customFormat="1" ht="15.6" thickBot="1" x14ac:dyDescent="0.3">
      <c r="A16" s="429"/>
      <c r="B16" s="296"/>
      <c r="C16" s="289" t="s">
        <v>244</v>
      </c>
      <c r="D16" s="297"/>
      <c r="E16" s="297"/>
      <c r="F16" s="298">
        <f>IF('Gårdens info'!$D$27&gt;0,J123/'Gårdens info'!$I$27,0)</f>
        <v>808.5</v>
      </c>
      <c r="G16" s="151" t="s">
        <v>14</v>
      </c>
      <c r="H16" s="614">
        <f>IF('Gårdens info'!$G$27&gt;0,F16/'Gårdens info'!$G$27,0)</f>
        <v>0.17966666666666667</v>
      </c>
      <c r="I16" s="151" t="s">
        <v>6</v>
      </c>
      <c r="J16" s="298">
        <f>F16*'Gårdens info'!$D$27</f>
        <v>808.5</v>
      </c>
      <c r="K16" s="151" t="s">
        <v>557</v>
      </c>
      <c r="L16" s="297"/>
      <c r="M16" s="300"/>
      <c r="N16" s="442"/>
      <c r="O16" s="812">
        <f t="shared" ref="O16:O17" si="0">D329</f>
        <v>0</v>
      </c>
      <c r="P16" s="151" t="s">
        <v>21</v>
      </c>
      <c r="Q16" s="151" t="str">
        <f t="shared" ref="Q16:Q17" si="1">C329</f>
        <v>Förpackning X</v>
      </c>
      <c r="R16" s="151"/>
      <c r="S16" s="453">
        <v>0</v>
      </c>
      <c r="T16" s="317"/>
      <c r="U16" s="300" t="s">
        <v>6</v>
      </c>
    </row>
    <row r="17" spans="1:26" s="91" customFormat="1" ht="15.6" thickBot="1" x14ac:dyDescent="0.3">
      <c r="A17" s="429"/>
      <c r="B17" s="296"/>
      <c r="C17" s="289" t="s">
        <v>386</v>
      </c>
      <c r="D17" s="297"/>
      <c r="E17" s="297"/>
      <c r="F17" s="298">
        <f>IF('Gårdens info'!$D$27&gt;0,J137/'Gårdens info'!$I$27,0)</f>
        <v>5.5439999999999996</v>
      </c>
      <c r="G17" s="151" t="s">
        <v>14</v>
      </c>
      <c r="H17" s="614">
        <f>IF('Gårdens info'!$G$27&gt;0,F17/'Gårdens info'!$G$27,0)</f>
        <v>1.2319999999999998E-3</v>
      </c>
      <c r="I17" s="151" t="s">
        <v>6</v>
      </c>
      <c r="J17" s="298">
        <f>F17*'Gårdens info'!$D$27</f>
        <v>5.5439999999999996</v>
      </c>
      <c r="K17" s="151" t="s">
        <v>557</v>
      </c>
      <c r="L17" s="297"/>
      <c r="M17" s="300"/>
      <c r="N17" s="442"/>
      <c r="O17" s="812">
        <f t="shared" si="0"/>
        <v>0</v>
      </c>
      <c r="P17" s="151" t="s">
        <v>21</v>
      </c>
      <c r="Q17" s="151" t="str">
        <f t="shared" si="1"/>
        <v>Förpackning X</v>
      </c>
      <c r="R17" s="151"/>
      <c r="S17" s="453">
        <v>0</v>
      </c>
      <c r="T17" s="317"/>
      <c r="U17" s="300" t="s">
        <v>6</v>
      </c>
    </row>
    <row r="18" spans="1:26" s="91" customFormat="1" ht="17.399999999999999" x14ac:dyDescent="0.3">
      <c r="A18" s="429"/>
      <c r="B18" s="296"/>
      <c r="C18" s="289" t="s">
        <v>387</v>
      </c>
      <c r="D18" s="297"/>
      <c r="E18" s="297"/>
      <c r="F18" s="298">
        <f>IF('Gårdens info'!$D$27&gt;0,J145/'Gårdens info'!$I$27,0)</f>
        <v>0</v>
      </c>
      <c r="G18" s="151" t="s">
        <v>14</v>
      </c>
      <c r="H18" s="614">
        <f>IF('Gårdens info'!$G$27&gt;0,F18/'Gårdens info'!$G$27,0)</f>
        <v>0</v>
      </c>
      <c r="I18" s="151" t="s">
        <v>6</v>
      </c>
      <c r="J18" s="298">
        <f>F18*'Gårdens info'!$D$27</f>
        <v>0</v>
      </c>
      <c r="K18" s="151" t="s">
        <v>557</v>
      </c>
      <c r="L18" s="297"/>
      <c r="M18" s="300"/>
      <c r="N18" s="446"/>
      <c r="O18" s="946" t="s">
        <v>16</v>
      </c>
      <c r="P18" s="946"/>
      <c r="Q18" s="946"/>
      <c r="R18" s="153"/>
      <c r="S18" s="450">
        <f>SUM(S10:S17)</f>
        <v>0.99999999999999989</v>
      </c>
      <c r="T18" s="153"/>
      <c r="U18" s="295"/>
    </row>
    <row r="19" spans="1:26" s="91" customFormat="1" ht="15.6" x14ac:dyDescent="0.3">
      <c r="A19" s="429"/>
      <c r="B19" s="296"/>
      <c r="C19" s="289" t="s">
        <v>249</v>
      </c>
      <c r="D19" s="297"/>
      <c r="E19" s="297"/>
      <c r="F19" s="298">
        <f>IF('Gårdens info'!$D$27&gt;0,J157/'Gårdens info'!$I$27,0)</f>
        <v>75.262799999999999</v>
      </c>
      <c r="G19" s="151" t="s">
        <v>14</v>
      </c>
      <c r="H19" s="614">
        <f>IF('Gårdens info'!$G$27&gt;0,F19/'Gårdens info'!$G$27,0)</f>
        <v>1.6725066666666667E-2</v>
      </c>
      <c r="I19" s="151" t="s">
        <v>6</v>
      </c>
      <c r="J19" s="298">
        <f>F19*'Gårdens info'!$D$27</f>
        <v>75.262799999999999</v>
      </c>
      <c r="K19" s="151" t="s">
        <v>557</v>
      </c>
      <c r="L19" s="297"/>
      <c r="M19" s="300"/>
      <c r="N19" s="288"/>
      <c r="O19" s="451" t="str">
        <f>IF(S18=100%," ","HUOM! Osuus myyynneistä pitää summautua 100 prosenttiin")</f>
        <v xml:space="preserve"> </v>
      </c>
      <c r="P19" s="151"/>
      <c r="R19" s="151"/>
      <c r="S19" s="151"/>
      <c r="T19" s="151"/>
      <c r="U19" s="300"/>
    </row>
    <row r="20" spans="1:26" s="91" customFormat="1" ht="15.6" thickBot="1" x14ac:dyDescent="0.3">
      <c r="A20" s="429"/>
      <c r="B20" s="296"/>
      <c r="C20" s="289" t="s">
        <v>388</v>
      </c>
      <c r="D20" s="297"/>
      <c r="E20" s="297"/>
      <c r="F20" s="298">
        <f>IF('Gårdens info'!$D$27&gt;0,L181/'Gårdens info'!$I$27,0)</f>
        <v>116</v>
      </c>
      <c r="G20" s="151" t="s">
        <v>14</v>
      </c>
      <c r="H20" s="614">
        <f>IF('Gårdens info'!$G$27&gt;0,F20/'Gårdens info'!$G$27,0)</f>
        <v>2.5777777777777778E-2</v>
      </c>
      <c r="I20" s="151" t="s">
        <v>6</v>
      </c>
      <c r="J20" s="298">
        <f>F20*'Gårdens info'!$D$27</f>
        <v>116</v>
      </c>
      <c r="K20" s="151" t="s">
        <v>557</v>
      </c>
      <c r="L20" s="297"/>
      <c r="M20" s="300"/>
      <c r="N20" s="447"/>
      <c r="O20" s="448"/>
      <c r="P20" s="448"/>
      <c r="Q20" s="448"/>
      <c r="R20" s="448"/>
      <c r="S20" s="448"/>
      <c r="T20" s="448"/>
      <c r="U20" s="449"/>
    </row>
    <row r="21" spans="1:26" s="91" customFormat="1" ht="15.6" x14ac:dyDescent="0.3">
      <c r="A21" s="429"/>
      <c r="B21" s="296"/>
      <c r="C21" s="301" t="s">
        <v>196</v>
      </c>
      <c r="D21" s="302"/>
      <c r="E21" s="302"/>
      <c r="F21" s="303">
        <f>SUM(F15:F20)</f>
        <v>3026.3067999999998</v>
      </c>
      <c r="G21" s="304" t="s">
        <v>14</v>
      </c>
      <c r="H21" s="615">
        <f>SUM(H15:H20)</f>
        <v>0.67251262222222219</v>
      </c>
      <c r="I21" s="304" t="s">
        <v>6</v>
      </c>
      <c r="J21" s="303">
        <f>SUM(J15:J20)</f>
        <v>3026.3067999999998</v>
      </c>
      <c r="K21" s="304" t="s">
        <v>557</v>
      </c>
      <c r="L21" s="302"/>
      <c r="M21" s="300"/>
    </row>
    <row r="22" spans="1:26" ht="17.399999999999999" x14ac:dyDescent="0.3">
      <c r="B22" s="292"/>
      <c r="C22" s="306"/>
      <c r="D22" s="307"/>
      <c r="E22" s="307"/>
      <c r="F22" s="308"/>
      <c r="G22" s="151"/>
      <c r="H22" s="307"/>
      <c r="I22" s="307"/>
      <c r="J22" s="307"/>
      <c r="K22" s="307"/>
      <c r="L22" s="307"/>
      <c r="M22" s="287"/>
      <c r="N22" s="91"/>
      <c r="O22" s="91"/>
      <c r="P22" s="91"/>
      <c r="Q22" s="91"/>
      <c r="R22" s="91"/>
      <c r="S22" s="91"/>
      <c r="T22" s="91"/>
      <c r="U22" s="91"/>
    </row>
    <row r="23" spans="1:26" s="77" customFormat="1" ht="17.399999999999999" x14ac:dyDescent="0.3">
      <c r="A23" s="428"/>
      <c r="B23" s="972" t="s">
        <v>555</v>
      </c>
      <c r="C23" s="973"/>
      <c r="D23" s="973"/>
      <c r="E23" s="153"/>
      <c r="F23" s="153"/>
      <c r="G23" s="153"/>
      <c r="H23" s="153"/>
      <c r="I23" s="153"/>
      <c r="J23" s="294"/>
      <c r="K23" s="153"/>
      <c r="L23" s="153"/>
      <c r="M23" s="295"/>
      <c r="N23"/>
      <c r="O23"/>
      <c r="P23"/>
      <c r="Q23"/>
      <c r="R23"/>
      <c r="S23"/>
      <c r="T23"/>
      <c r="U23"/>
    </row>
    <row r="24" spans="1:26" s="91" customFormat="1" ht="17.399999999999999" x14ac:dyDescent="0.3">
      <c r="A24" s="429"/>
      <c r="B24" s="296"/>
      <c r="C24" s="289" t="s">
        <v>385</v>
      </c>
      <c r="D24" s="297"/>
      <c r="E24" s="297"/>
      <c r="F24" s="298">
        <f>IF('Gårdens info'!$D$27&gt;0,J193*'Gårdens info'!K27/'Gårdens info'!$I$27,0)</f>
        <v>183</v>
      </c>
      <c r="G24" s="151" t="s">
        <v>14</v>
      </c>
      <c r="H24" s="614">
        <f>IF('Gårdens info'!$G$27&gt;0,F24/'Gårdens info'!$G$27,0)</f>
        <v>4.0666666666666663E-2</v>
      </c>
      <c r="I24" s="151" t="s">
        <v>6</v>
      </c>
      <c r="J24" s="298">
        <f>F24*'Gårdens info'!$D$27</f>
        <v>183</v>
      </c>
      <c r="K24" s="151" t="s">
        <v>557</v>
      </c>
      <c r="L24" s="297"/>
      <c r="M24" s="300"/>
      <c r="N24" s="77"/>
      <c r="O24" s="77"/>
      <c r="P24" s="77"/>
      <c r="Q24" s="77"/>
      <c r="R24" s="77"/>
      <c r="S24" s="77"/>
      <c r="T24" s="77"/>
      <c r="U24" s="77"/>
    </row>
    <row r="25" spans="1:26" s="91" customFormat="1" ht="15" x14ac:dyDescent="0.25">
      <c r="A25" s="429"/>
      <c r="B25" s="296"/>
      <c r="C25" s="289" t="s">
        <v>244</v>
      </c>
      <c r="D25" s="297"/>
      <c r="E25" s="297"/>
      <c r="F25" s="298">
        <f>IF('Gårdens info'!$D$27&gt;0,J202*'Gårdens info'!K27/'Gårdens info'!$I$27,0)</f>
        <v>30.6</v>
      </c>
      <c r="G25" s="151" t="s">
        <v>14</v>
      </c>
      <c r="H25" s="614">
        <f>IF('Gårdens info'!$G$27&gt;0,F25/'Gårdens info'!$G$27,0)</f>
        <v>6.8000000000000005E-3</v>
      </c>
      <c r="I25" s="151" t="s">
        <v>6</v>
      </c>
      <c r="J25" s="298">
        <f>F25*'Gårdens info'!$D$27</f>
        <v>30.6</v>
      </c>
      <c r="K25" s="151" t="s">
        <v>557</v>
      </c>
      <c r="L25" s="297"/>
      <c r="M25" s="300"/>
    </row>
    <row r="26" spans="1:26" s="91" customFormat="1" ht="15" x14ac:dyDescent="0.25">
      <c r="A26" s="429"/>
      <c r="B26" s="296"/>
      <c r="C26" s="289" t="s">
        <v>556</v>
      </c>
      <c r="D26" s="297"/>
      <c r="E26" s="297"/>
      <c r="F26" s="298">
        <f>IF('Gårdens info'!$D$27&gt;0,J216*'Gårdens info'!K27/'Gårdens info'!$I$27,0)</f>
        <v>0</v>
      </c>
      <c r="G26" s="151" t="s">
        <v>14</v>
      </c>
      <c r="H26" s="614">
        <f>IF('Gårdens info'!$G$27&gt;0,F26/'Gårdens info'!$G$27,0)</f>
        <v>0</v>
      </c>
      <c r="I26" s="151" t="s">
        <v>6</v>
      </c>
      <c r="J26" s="298">
        <f>F26*'Gårdens info'!$D$27</f>
        <v>0</v>
      </c>
      <c r="K26" s="151" t="s">
        <v>557</v>
      </c>
      <c r="L26" s="297"/>
      <c r="M26" s="300"/>
    </row>
    <row r="27" spans="1:26" s="91" customFormat="1" ht="15" x14ac:dyDescent="0.25">
      <c r="A27" s="429"/>
      <c r="B27" s="296"/>
      <c r="C27" s="289" t="s">
        <v>392</v>
      </c>
      <c r="D27" s="297"/>
      <c r="E27" s="297"/>
      <c r="F27" s="298">
        <f>IF('Gårdens info'!$D$27&gt;0,J224*'Gårdens info'!K27/'Gårdens info'!$I$27,0)</f>
        <v>160</v>
      </c>
      <c r="G27" s="151" t="s">
        <v>14</v>
      </c>
      <c r="H27" s="614">
        <f>IF('Gårdens info'!$G$27&gt;0,F27/'Gårdens info'!$G$27,0)</f>
        <v>3.5555555555555556E-2</v>
      </c>
      <c r="I27" s="151" t="s">
        <v>6</v>
      </c>
      <c r="J27" s="298">
        <f>F27*'Gårdens info'!$D$27</f>
        <v>160</v>
      </c>
      <c r="K27" s="151" t="s">
        <v>557</v>
      </c>
      <c r="L27" s="297"/>
      <c r="M27" s="300"/>
    </row>
    <row r="28" spans="1:26" s="91" customFormat="1" ht="15" x14ac:dyDescent="0.25">
      <c r="A28" s="429"/>
      <c r="B28" s="296"/>
      <c r="C28" s="289" t="s">
        <v>393</v>
      </c>
      <c r="D28" s="297"/>
      <c r="E28" s="297"/>
      <c r="F28" s="298">
        <f>IF('Gårdens info'!$D$27&gt;0,J237*'Gårdens info'!K27/'Gårdens info'!$I$27,0)</f>
        <v>30</v>
      </c>
      <c r="G28" s="151" t="s">
        <v>14</v>
      </c>
      <c r="H28" s="614">
        <f>IF('Gårdens info'!$G$27&gt;0,F28/'Gårdens info'!$G$27,0)</f>
        <v>6.6666666666666671E-3</v>
      </c>
      <c r="I28" s="151" t="s">
        <v>6</v>
      </c>
      <c r="J28" s="298">
        <f>F28*'Gårdens info'!$D$27</f>
        <v>30</v>
      </c>
      <c r="K28" s="151" t="s">
        <v>557</v>
      </c>
      <c r="L28" s="297"/>
      <c r="M28" s="300"/>
    </row>
    <row r="29" spans="1:26" s="91" customFormat="1" ht="15" x14ac:dyDescent="0.25">
      <c r="A29" s="429"/>
      <c r="B29" s="296"/>
      <c r="C29" s="289" t="s">
        <v>394</v>
      </c>
      <c r="D29" s="297"/>
      <c r="E29" s="297"/>
      <c r="F29" s="298">
        <f>IF('Gårdens info'!$D$27&gt;0,J245*'Gårdens info'!K27/'Gårdens info'!$I$27,0)</f>
        <v>450</v>
      </c>
      <c r="G29" s="151" t="s">
        <v>14</v>
      </c>
      <c r="H29" s="614">
        <f>IF('Gårdens info'!$G$27&gt;0,F29/'Gårdens info'!$G$27,0)</f>
        <v>0.1</v>
      </c>
      <c r="I29" s="151" t="s">
        <v>6</v>
      </c>
      <c r="J29" s="298">
        <f>F29*'Gårdens info'!$D$27</f>
        <v>450</v>
      </c>
      <c r="K29" s="151" t="s">
        <v>557</v>
      </c>
      <c r="L29" s="297"/>
      <c r="M29" s="300"/>
      <c r="Y29" s="858"/>
    </row>
    <row r="30" spans="1:26" s="91" customFormat="1" ht="15" x14ac:dyDescent="0.25">
      <c r="A30" s="429"/>
      <c r="B30" s="296"/>
      <c r="C30" s="289" t="s">
        <v>387</v>
      </c>
      <c r="D30" s="297"/>
      <c r="E30" s="297"/>
      <c r="F30" s="298">
        <f>IF('Gårdens info'!$D$27&gt;0,J253*'Gårdens info'!K27/'Gårdens info'!$I$27,0)</f>
        <v>0</v>
      </c>
      <c r="G30" s="151" t="s">
        <v>14</v>
      </c>
      <c r="H30" s="614">
        <f>IF('Gårdens info'!$G$27&gt;0,F30/'Gårdens info'!$G$27,0)</f>
        <v>0</v>
      </c>
      <c r="I30" s="151" t="s">
        <v>6</v>
      </c>
      <c r="J30" s="298">
        <f>F30*'Gårdens info'!$D$27</f>
        <v>0</v>
      </c>
      <c r="K30" s="151" t="s">
        <v>557</v>
      </c>
      <c r="L30" s="297"/>
      <c r="M30" s="300"/>
      <c r="Y30" s="863" t="s">
        <v>244</v>
      </c>
      <c r="Z30" s="549">
        <f>F36</f>
        <v>351.90000000000003</v>
      </c>
    </row>
    <row r="31" spans="1:26" s="91" customFormat="1" ht="15" x14ac:dyDescent="0.25">
      <c r="A31" s="429"/>
      <c r="B31" s="296"/>
      <c r="C31" s="289" t="s">
        <v>249</v>
      </c>
      <c r="D31" s="297"/>
      <c r="E31" s="297"/>
      <c r="F31" s="298">
        <f>IF('Gårdens info'!$D$27&gt;0,J265*'Gårdens info'!K27/'Gårdens info'!$I$27,0)</f>
        <v>116.3296</v>
      </c>
      <c r="G31" s="151" t="s">
        <v>14</v>
      </c>
      <c r="H31" s="614">
        <f>IF('Gårdens info'!$G$27&gt;0,F31/'Gårdens info'!$G$27,0)</f>
        <v>2.5851022222222221E-2</v>
      </c>
      <c r="I31" s="151" t="s">
        <v>6</v>
      </c>
      <c r="J31" s="298">
        <f>F31*'Gårdens info'!$D$27</f>
        <v>116.3296</v>
      </c>
      <c r="K31" s="151" t="s">
        <v>557</v>
      </c>
      <c r="L31" s="297"/>
      <c r="M31" s="300"/>
      <c r="Y31" s="863" t="s">
        <v>556</v>
      </c>
      <c r="Z31" s="549">
        <f t="shared" ref="Z31:Z37" si="2">F37</f>
        <v>0</v>
      </c>
    </row>
    <row r="32" spans="1:26" s="91" customFormat="1" ht="15" x14ac:dyDescent="0.25">
      <c r="A32" s="429"/>
      <c r="B32" s="296"/>
      <c r="C32" s="289" t="s">
        <v>388</v>
      </c>
      <c r="D32" s="297"/>
      <c r="E32" s="297"/>
      <c r="F32" s="298">
        <f>IF('Gårdens info'!$D$27&gt;0,L286*'Gårdens info'!K27/'Gårdens info'!$I$27,0)</f>
        <v>116</v>
      </c>
      <c r="G32" s="151" t="s">
        <v>14</v>
      </c>
      <c r="H32" s="614">
        <f>IF('Gårdens info'!$G$27&gt;0,F32/'Gårdens info'!$G$27,0)</f>
        <v>2.5777777777777778E-2</v>
      </c>
      <c r="I32" s="151" t="s">
        <v>6</v>
      </c>
      <c r="J32" s="298">
        <f>F32*'Gårdens info'!$D$27</f>
        <v>116</v>
      </c>
      <c r="K32" s="151" t="s">
        <v>557</v>
      </c>
      <c r="L32" s="297"/>
      <c r="M32" s="300"/>
      <c r="Y32" s="863" t="s">
        <v>392</v>
      </c>
      <c r="Z32" s="549">
        <f t="shared" si="2"/>
        <v>800</v>
      </c>
    </row>
    <row r="33" spans="1:26" s="91" customFormat="1" ht="15.6" x14ac:dyDescent="0.3">
      <c r="A33" s="429"/>
      <c r="B33" s="296"/>
      <c r="C33" s="301" t="s">
        <v>196</v>
      </c>
      <c r="D33" s="302"/>
      <c r="E33" s="302"/>
      <c r="F33" s="303">
        <f>SUM(F24:F32)</f>
        <v>1085.9295999999999</v>
      </c>
      <c r="G33" s="304" t="s">
        <v>14</v>
      </c>
      <c r="H33" s="615">
        <f>SUM(H24:H32)</f>
        <v>0.24131768888888891</v>
      </c>
      <c r="I33" s="304" t="s">
        <v>6</v>
      </c>
      <c r="J33" s="303">
        <f>SUM(J24:J32)</f>
        <v>1085.9295999999999</v>
      </c>
      <c r="K33" s="304" t="s">
        <v>557</v>
      </c>
      <c r="L33" s="302"/>
      <c r="M33" s="300"/>
      <c r="Y33" s="863" t="s">
        <v>393</v>
      </c>
      <c r="Z33" s="549">
        <f t="shared" si="2"/>
        <v>150</v>
      </c>
    </row>
    <row r="34" spans="1:26" ht="17.399999999999999" x14ac:dyDescent="0.3">
      <c r="B34" s="292"/>
      <c r="C34" s="306"/>
      <c r="D34" s="307"/>
      <c r="E34" s="307"/>
      <c r="F34" s="308"/>
      <c r="G34" s="151"/>
      <c r="H34" s="307"/>
      <c r="I34" s="307"/>
      <c r="J34" s="307"/>
      <c r="K34" s="307"/>
      <c r="L34" s="307"/>
      <c r="M34" s="287"/>
      <c r="N34" s="91"/>
      <c r="O34" s="91"/>
      <c r="P34" s="91"/>
      <c r="Q34" s="91"/>
      <c r="R34" s="91"/>
      <c r="S34" s="91"/>
      <c r="T34" s="91"/>
      <c r="U34" s="91"/>
      <c r="Y34" s="863" t="s">
        <v>394</v>
      </c>
      <c r="Z34" s="549">
        <f t="shared" si="2"/>
        <v>2250</v>
      </c>
    </row>
    <row r="35" spans="1:26" s="77" customFormat="1" ht="17.399999999999999" x14ac:dyDescent="0.3">
      <c r="A35" s="428"/>
      <c r="B35" s="850" t="s">
        <v>270</v>
      </c>
      <c r="C35" s="306"/>
      <c r="D35" s="310"/>
      <c r="E35" s="310"/>
      <c r="F35" s="311"/>
      <c r="G35" s="153"/>
      <c r="H35" s="310"/>
      <c r="I35" s="310"/>
      <c r="J35" s="310"/>
      <c r="K35" s="310"/>
      <c r="L35" s="310"/>
      <c r="M35" s="295"/>
      <c r="N35"/>
      <c r="O35"/>
      <c r="P35"/>
      <c r="Q35"/>
      <c r="R35"/>
      <c r="S35"/>
      <c r="T35"/>
      <c r="U35"/>
      <c r="Y35" s="863" t="s">
        <v>387</v>
      </c>
      <c r="Z35" s="549">
        <f t="shared" si="2"/>
        <v>0</v>
      </c>
    </row>
    <row r="36" spans="1:26" s="91" customFormat="1" ht="17.399999999999999" x14ac:dyDescent="0.3">
      <c r="A36" s="429"/>
      <c r="B36" s="296"/>
      <c r="C36" s="289" t="s">
        <v>244</v>
      </c>
      <c r="D36" s="297"/>
      <c r="E36" s="297"/>
      <c r="F36" s="298">
        <f>IF('Gårdens info'!D27&gt;0,J296,0)</f>
        <v>351.90000000000003</v>
      </c>
      <c r="G36" s="151" t="s">
        <v>14</v>
      </c>
      <c r="H36" s="614">
        <f>IF('Gårdens info'!$G$27&gt;0,F36/'Gårdens info'!$G$27,0)</f>
        <v>7.8200000000000006E-2</v>
      </c>
      <c r="I36" s="151" t="s">
        <v>6</v>
      </c>
      <c r="J36" s="298">
        <f>F36*'Gårdens info'!$D$27</f>
        <v>351.90000000000003</v>
      </c>
      <c r="K36" s="151" t="s">
        <v>557</v>
      </c>
      <c r="L36" s="297"/>
      <c r="M36" s="300"/>
      <c r="N36" s="77"/>
      <c r="O36" s="77"/>
      <c r="P36" s="77"/>
      <c r="Q36" s="77"/>
      <c r="R36" s="77"/>
      <c r="S36" s="77"/>
      <c r="T36" s="77"/>
      <c r="U36" s="77"/>
      <c r="Y36" s="863" t="s">
        <v>249</v>
      </c>
      <c r="Z36" s="549">
        <f t="shared" si="2"/>
        <v>900.96799999999996</v>
      </c>
    </row>
    <row r="37" spans="1:26" s="91" customFormat="1" ht="15" x14ac:dyDescent="0.25">
      <c r="A37" s="429"/>
      <c r="B37" s="296"/>
      <c r="C37" s="289" t="s">
        <v>245</v>
      </c>
      <c r="D37" s="297"/>
      <c r="E37" s="297"/>
      <c r="F37" s="298">
        <f>IF('Gårdens info'!D27&gt;0,J310,0)</f>
        <v>0</v>
      </c>
      <c r="G37" s="151" t="s">
        <v>14</v>
      </c>
      <c r="H37" s="614">
        <f>IF('Gårdens info'!$G$27&gt;0,F37/'Gårdens info'!$G$27,0)</f>
        <v>0</v>
      </c>
      <c r="I37" s="151" t="s">
        <v>6</v>
      </c>
      <c r="J37" s="298">
        <f>F37*'Gårdens info'!$D$27</f>
        <v>0</v>
      </c>
      <c r="K37" s="151" t="s">
        <v>557</v>
      </c>
      <c r="L37" s="297"/>
      <c r="M37" s="300"/>
      <c r="Y37" s="863" t="s">
        <v>388</v>
      </c>
      <c r="Z37" s="549">
        <f t="shared" si="2"/>
        <v>16925</v>
      </c>
    </row>
    <row r="38" spans="1:26" s="91" customFormat="1" ht="15" x14ac:dyDescent="0.25">
      <c r="A38" s="429"/>
      <c r="B38" s="296"/>
      <c r="C38" s="289" t="s">
        <v>392</v>
      </c>
      <c r="D38" s="297"/>
      <c r="E38" s="297"/>
      <c r="F38" s="298">
        <f>J318</f>
        <v>800</v>
      </c>
      <c r="G38" s="151" t="s">
        <v>14</v>
      </c>
      <c r="H38" s="614">
        <f>IF('Gårdens info'!$G$27&gt;0,F38/'Gårdens info'!$G$27,0)</f>
        <v>0.17777777777777778</v>
      </c>
      <c r="I38" s="151" t="s">
        <v>6</v>
      </c>
      <c r="J38" s="298">
        <f>F38*'Gårdens info'!$D$27</f>
        <v>800</v>
      </c>
      <c r="K38" s="151" t="s">
        <v>557</v>
      </c>
      <c r="L38" s="297"/>
      <c r="M38" s="300"/>
      <c r="Y38" s="858" t="s">
        <v>572</v>
      </c>
      <c r="Z38" s="552">
        <f>F53</f>
        <v>414.81481481481484</v>
      </c>
    </row>
    <row r="39" spans="1:26" s="91" customFormat="1" ht="15" x14ac:dyDescent="0.25">
      <c r="A39" s="429"/>
      <c r="B39" s="296"/>
      <c r="C39" s="289" t="s">
        <v>393</v>
      </c>
      <c r="D39" s="297"/>
      <c r="E39" s="297"/>
      <c r="F39" s="298">
        <f>IF('Gårdens info'!D27&gt;0,J331,0)</f>
        <v>150</v>
      </c>
      <c r="G39" s="151" t="s">
        <v>14</v>
      </c>
      <c r="H39" s="614">
        <f>IF('Gårdens info'!$G$27&gt;0,F39/'Gårdens info'!$G$27,0)</f>
        <v>3.3333333333333333E-2</v>
      </c>
      <c r="I39" s="151" t="s">
        <v>6</v>
      </c>
      <c r="J39" s="298">
        <f>F39*'Gårdens info'!$D$27</f>
        <v>150</v>
      </c>
      <c r="K39" s="151" t="s">
        <v>557</v>
      </c>
      <c r="L39" s="297"/>
      <c r="M39" s="300"/>
      <c r="Y39" s="858" t="s">
        <v>728</v>
      </c>
      <c r="Z39" s="552">
        <f>F54</f>
        <v>44.444444444444443</v>
      </c>
    </row>
    <row r="40" spans="1:26" s="91" customFormat="1" ht="15" x14ac:dyDescent="0.25">
      <c r="A40" s="429"/>
      <c r="B40" s="296"/>
      <c r="C40" s="289" t="s">
        <v>394</v>
      </c>
      <c r="D40" s="297"/>
      <c r="E40" s="297"/>
      <c r="F40" s="298">
        <f>IF('Gårdens info'!D27&gt;0,J339,0)</f>
        <v>2250</v>
      </c>
      <c r="G40" s="151" t="s">
        <v>14</v>
      </c>
      <c r="H40" s="614">
        <f>IF('Gårdens info'!$G$27&gt;0,F40/'Gårdens info'!$G$27,0)</f>
        <v>0.5</v>
      </c>
      <c r="I40" s="151" t="s">
        <v>6</v>
      </c>
      <c r="J40" s="298">
        <f>F40*'Gårdens info'!$D$27</f>
        <v>2250</v>
      </c>
      <c r="K40" s="151" t="s">
        <v>557</v>
      </c>
      <c r="L40" s="297"/>
      <c r="M40" s="300"/>
      <c r="Y40" s="858" t="s">
        <v>576</v>
      </c>
      <c r="Z40" s="553">
        <f>F63</f>
        <v>752.8888888888888</v>
      </c>
    </row>
    <row r="41" spans="1:26" s="91" customFormat="1" ht="15" x14ac:dyDescent="0.25">
      <c r="A41" s="429"/>
      <c r="B41" s="296"/>
      <c r="C41" s="289" t="s">
        <v>387</v>
      </c>
      <c r="D41" s="297"/>
      <c r="E41" s="297"/>
      <c r="F41" s="298">
        <f>IF('Gårdens info'!D27&gt;0,J347,0)</f>
        <v>0</v>
      </c>
      <c r="G41" s="151" t="s">
        <v>14</v>
      </c>
      <c r="H41" s="614">
        <f>IF('Gårdens info'!$G$27&gt;0,F41/'Gårdens info'!$G$27,0)</f>
        <v>0</v>
      </c>
      <c r="I41" s="151" t="s">
        <v>6</v>
      </c>
      <c r="J41" s="298">
        <f>F41*'Gårdens info'!$D$27</f>
        <v>0</v>
      </c>
      <c r="K41" s="151" t="s">
        <v>557</v>
      </c>
      <c r="L41" s="297"/>
      <c r="M41" s="300"/>
      <c r="Y41" s="858" t="s">
        <v>577</v>
      </c>
      <c r="Z41" s="553">
        <f>F70</f>
        <v>357.60123456790126</v>
      </c>
    </row>
    <row r="42" spans="1:26" s="91" customFormat="1" ht="15" x14ac:dyDescent="0.25">
      <c r="A42" s="429"/>
      <c r="B42" s="296"/>
      <c r="C42" s="289" t="s">
        <v>249</v>
      </c>
      <c r="D42" s="297"/>
      <c r="E42" s="297"/>
      <c r="F42" s="298">
        <f>IF('Gårdens info'!D27&gt;0,J359,0)</f>
        <v>900.96799999999996</v>
      </c>
      <c r="G42" s="151" t="s">
        <v>14</v>
      </c>
      <c r="H42" s="614">
        <f>IF('Gårdens info'!$G$27&gt;0,F42/'Gårdens info'!$G$27,0)</f>
        <v>0.20021511111111109</v>
      </c>
      <c r="I42" s="151" t="s">
        <v>6</v>
      </c>
      <c r="J42" s="298">
        <f>F42*'Gårdens info'!$D$27</f>
        <v>900.96799999999996</v>
      </c>
      <c r="K42" s="151" t="s">
        <v>557</v>
      </c>
      <c r="L42" s="297"/>
      <c r="M42" s="300"/>
      <c r="Y42" s="858" t="s">
        <v>733</v>
      </c>
      <c r="Z42" s="553">
        <f>F77</f>
        <v>295.73280952380952</v>
      </c>
    </row>
    <row r="43" spans="1:26" s="91" customFormat="1" ht="15" x14ac:dyDescent="0.25">
      <c r="A43" s="429"/>
      <c r="B43" s="296"/>
      <c r="C43" s="289" t="s">
        <v>388</v>
      </c>
      <c r="D43" s="297"/>
      <c r="E43" s="297"/>
      <c r="F43" s="298">
        <f>IF('Gårdens info'!D27&gt;0,L380,0)</f>
        <v>16925</v>
      </c>
      <c r="G43" s="151" t="s">
        <v>14</v>
      </c>
      <c r="H43" s="614">
        <f>IF('Gårdens info'!$G$27&gt;0,F43/'Gårdens info'!$G$27,0)</f>
        <v>3.7611111111111111</v>
      </c>
      <c r="I43" s="151" t="s">
        <v>6</v>
      </c>
      <c r="J43" s="298">
        <f>F43*'Gårdens info'!$D$27</f>
        <v>16925</v>
      </c>
      <c r="K43" s="151" t="s">
        <v>557</v>
      </c>
      <c r="L43" s="297"/>
      <c r="M43" s="300"/>
      <c r="Y43" s="858" t="s">
        <v>162</v>
      </c>
      <c r="Z43" s="553">
        <f>F83</f>
        <v>22.222222222222221</v>
      </c>
    </row>
    <row r="44" spans="1:26" s="236" customFormat="1" ht="15.6" x14ac:dyDescent="0.3">
      <c r="A44" s="430"/>
      <c r="B44" s="312"/>
      <c r="C44" s="301" t="s">
        <v>196</v>
      </c>
      <c r="D44" s="302"/>
      <c r="E44" s="302"/>
      <c r="F44" s="303">
        <f>SUM(F36:F43)</f>
        <v>21377.868000000002</v>
      </c>
      <c r="G44" s="304" t="s">
        <v>14</v>
      </c>
      <c r="H44" s="615">
        <f>SUM(H36:H43)</f>
        <v>4.7506373333333336</v>
      </c>
      <c r="I44" s="304" t="s">
        <v>6</v>
      </c>
      <c r="J44" s="303">
        <f>SUM(J36:J43)</f>
        <v>21377.868000000002</v>
      </c>
      <c r="K44" s="304" t="s">
        <v>557</v>
      </c>
      <c r="L44" s="302"/>
      <c r="M44" s="313"/>
      <c r="N44" s="91"/>
      <c r="O44" s="91"/>
      <c r="P44" s="91"/>
      <c r="Q44" s="91"/>
      <c r="R44" s="91"/>
      <c r="S44" s="91"/>
      <c r="T44" s="91"/>
      <c r="U44" s="91"/>
      <c r="Y44" s="858" t="s">
        <v>727</v>
      </c>
      <c r="Z44" s="553">
        <f>F94</f>
        <v>1725.5</v>
      </c>
    </row>
    <row r="45" spans="1:26" ht="17.399999999999999" x14ac:dyDescent="0.3">
      <c r="B45" s="292"/>
      <c r="C45" s="306"/>
      <c r="D45" s="307"/>
      <c r="E45" s="307"/>
      <c r="F45" s="308"/>
      <c r="G45" s="151"/>
      <c r="H45" s="307"/>
      <c r="I45" s="307"/>
      <c r="J45" s="307"/>
      <c r="K45" s="307"/>
      <c r="L45" s="307"/>
      <c r="M45" s="287"/>
      <c r="N45" s="236"/>
      <c r="O45" s="236"/>
      <c r="P45" s="236"/>
      <c r="Q45" s="236"/>
      <c r="R45" s="236"/>
      <c r="S45" s="236"/>
      <c r="T45" s="236"/>
      <c r="U45" s="236"/>
      <c r="Y45" s="879"/>
      <c r="Z45" s="236"/>
    </row>
    <row r="46" spans="1:26" ht="17.399999999999999" x14ac:dyDescent="0.3">
      <c r="B46" s="314" t="s">
        <v>395</v>
      </c>
      <c r="C46" s="306"/>
      <c r="D46" s="307"/>
      <c r="E46" s="307"/>
      <c r="F46" s="307"/>
      <c r="G46" s="307"/>
      <c r="H46" s="307"/>
      <c r="I46" s="307"/>
      <c r="J46" s="307"/>
      <c r="K46" s="307"/>
      <c r="L46" s="307"/>
      <c r="M46" s="287"/>
      <c r="Y46" s="868"/>
    </row>
    <row r="47" spans="1:26" ht="17.399999999999999" x14ac:dyDescent="0.3">
      <c r="B47" s="292"/>
      <c r="C47" s="289" t="s">
        <v>245</v>
      </c>
      <c r="D47" s="297"/>
      <c r="E47" s="297"/>
      <c r="F47" s="298">
        <f>IF('Gårdens info'!D27&gt;0,J397/'Gårdens info'!I27,0)</f>
        <v>5.5439999999999996</v>
      </c>
      <c r="G47" s="151" t="s">
        <v>14</v>
      </c>
      <c r="H47" s="614">
        <f>IF('Gårdens info'!$G$27&gt;0,F47/'Gårdens info'!$G$27,0)</f>
        <v>1.2319999999999998E-3</v>
      </c>
      <c r="I47" s="151" t="s">
        <v>6</v>
      </c>
      <c r="J47" s="298">
        <f>F47*'Gårdens info'!$D$27</f>
        <v>5.5439999999999996</v>
      </c>
      <c r="K47" s="151" t="s">
        <v>557</v>
      </c>
      <c r="L47" s="307"/>
      <c r="M47" s="287"/>
    </row>
    <row r="48" spans="1:26" s="91" customFormat="1" ht="15" x14ac:dyDescent="0.25">
      <c r="A48" s="429"/>
      <c r="B48" s="296"/>
      <c r="C48" s="289" t="s">
        <v>387</v>
      </c>
      <c r="D48" s="297"/>
      <c r="E48" s="297"/>
      <c r="F48" s="298">
        <f>IF('Gårdens info'!D27&gt;0,J405/'Gårdens info'!I27,0)</f>
        <v>12.4</v>
      </c>
      <c r="G48" s="151" t="s">
        <v>14</v>
      </c>
      <c r="H48" s="614">
        <f>IF('Gårdens info'!$G$27&gt;0,F48/'Gårdens info'!$G$27,0)</f>
        <v>2.7555555555555558E-3</v>
      </c>
      <c r="I48" s="151" t="s">
        <v>6</v>
      </c>
      <c r="J48" s="298">
        <f>F48*'Gårdens info'!$D$27</f>
        <v>12.4</v>
      </c>
      <c r="K48" s="151" t="s">
        <v>557</v>
      </c>
      <c r="L48" s="297"/>
      <c r="M48" s="300"/>
      <c r="N48"/>
      <c r="O48"/>
      <c r="P48"/>
      <c r="Q48"/>
      <c r="R48"/>
      <c r="S48"/>
      <c r="T48"/>
      <c r="U48"/>
      <c r="Y48"/>
      <c r="Z48"/>
    </row>
    <row r="49" spans="1:26" s="91" customFormat="1" ht="15" x14ac:dyDescent="0.25">
      <c r="A49" s="429"/>
      <c r="B49" s="296"/>
      <c r="C49" s="289" t="s">
        <v>249</v>
      </c>
      <c r="D49" s="297"/>
      <c r="E49" s="297"/>
      <c r="F49" s="298">
        <f>IF('Gårdens info'!D27&gt;0,J417/'Gårdens info'!I27,0)</f>
        <v>5.4160000000000004</v>
      </c>
      <c r="G49" s="151" t="s">
        <v>14</v>
      </c>
      <c r="H49" s="614">
        <f>IF('Gårdens info'!$G$27&gt;0,F49/'Gårdens info'!$G$27,0)</f>
        <v>1.2035555555555556E-3</v>
      </c>
      <c r="I49" s="151" t="s">
        <v>6</v>
      </c>
      <c r="J49" s="298">
        <f>F49*'Gårdens info'!$D$27</f>
        <v>5.4160000000000004</v>
      </c>
      <c r="K49" s="151" t="s">
        <v>557</v>
      </c>
      <c r="L49" s="297"/>
      <c r="M49" s="300"/>
    </row>
    <row r="50" spans="1:26" s="91" customFormat="1" ht="15" x14ac:dyDescent="0.25">
      <c r="A50" s="429"/>
      <c r="B50" s="296"/>
      <c r="C50" s="289" t="s">
        <v>388</v>
      </c>
      <c r="D50" s="297"/>
      <c r="E50" s="297"/>
      <c r="F50" s="298">
        <f>IF('Gårdens info'!D27&gt;0,L430/'Gårdens info'!I27,0)</f>
        <v>0</v>
      </c>
      <c r="G50" s="151" t="s">
        <v>14</v>
      </c>
      <c r="H50" s="614">
        <f>IF('Gårdens info'!$G$27&gt;0,F50/'Gårdens info'!$G$27,0)</f>
        <v>0</v>
      </c>
      <c r="I50" s="151" t="s">
        <v>6</v>
      </c>
      <c r="J50" s="298">
        <f>F50*'Gårdens info'!$D$27</f>
        <v>0</v>
      </c>
      <c r="K50" s="151" t="s">
        <v>557</v>
      </c>
      <c r="L50" s="297"/>
      <c r="M50" s="300"/>
    </row>
    <row r="51" spans="1:26" s="8" customFormat="1" ht="15.6" x14ac:dyDescent="0.3">
      <c r="A51" s="427"/>
      <c r="B51" s="349"/>
      <c r="C51" s="324" t="s">
        <v>196</v>
      </c>
      <c r="D51" s="324"/>
      <c r="E51" s="324"/>
      <c r="F51" s="325">
        <f>SUM(F47:F50)</f>
        <v>23.36</v>
      </c>
      <c r="G51" s="304" t="s">
        <v>14</v>
      </c>
      <c r="H51" s="617">
        <f>SUM(H47:H50)</f>
        <v>5.1911111111111116E-3</v>
      </c>
      <c r="I51" s="304" t="s">
        <v>6</v>
      </c>
      <c r="J51" s="320">
        <f>SUM(J47:J50)</f>
        <v>23.36</v>
      </c>
      <c r="K51" s="304" t="s">
        <v>557</v>
      </c>
      <c r="L51" s="327"/>
      <c r="M51" s="321"/>
      <c r="N51" s="91"/>
      <c r="O51" s="91"/>
      <c r="P51" s="91"/>
      <c r="Q51" s="91"/>
      <c r="R51" s="91"/>
      <c r="S51" s="91"/>
      <c r="T51" s="91"/>
      <c r="U51" s="91"/>
      <c r="Y51" s="91"/>
      <c r="Z51" s="91"/>
    </row>
    <row r="52" spans="1:26" s="8" customFormat="1" ht="15.6" x14ac:dyDescent="0.3">
      <c r="A52" s="427"/>
      <c r="B52" s="349"/>
      <c r="C52" s="324"/>
      <c r="D52" s="324"/>
      <c r="E52" s="324"/>
      <c r="F52" s="325"/>
      <c r="G52" s="304"/>
      <c r="H52" s="326"/>
      <c r="I52" s="304"/>
      <c r="J52" s="320"/>
      <c r="K52" s="304"/>
      <c r="L52" s="327"/>
      <c r="M52" s="321"/>
    </row>
    <row r="53" spans="1:26" s="8" customFormat="1" ht="17.399999999999999" x14ac:dyDescent="0.3">
      <c r="A53" s="427"/>
      <c r="B53" s="947" t="s">
        <v>558</v>
      </c>
      <c r="C53" s="948"/>
      <c r="D53" s="948"/>
      <c r="E53" s="948"/>
      <c r="F53" s="325">
        <f>IF('Gårdens info'!D27&gt;0,J53/'Gårdens info'!D27,0)</f>
        <v>414.81481481481484</v>
      </c>
      <c r="G53" s="304" t="s">
        <v>14</v>
      </c>
      <c r="H53" s="617">
        <f>IF('Gårdens info'!G27&gt;0,F53/'Gårdens info'!G27,0)</f>
        <v>9.2181069958847742E-2</v>
      </c>
      <c r="I53" s="304" t="s">
        <v>6</v>
      </c>
      <c r="J53" s="320">
        <f>'Gårdens info'!G147/'Gårdens info'!D37*'Gårdens info'!D27</f>
        <v>414.81481481481484</v>
      </c>
      <c r="K53" s="304" t="s">
        <v>557</v>
      </c>
      <c r="L53" s="327"/>
      <c r="M53" s="321"/>
    </row>
    <row r="54" spans="1:26" s="8" customFormat="1" ht="17.399999999999999" x14ac:dyDescent="0.3">
      <c r="A54" s="427"/>
      <c r="B54" s="949" t="s">
        <v>559</v>
      </c>
      <c r="C54" s="950"/>
      <c r="D54" s="950"/>
      <c r="E54" s="950"/>
      <c r="F54" s="325">
        <f>'Gårdens info'!$G$42*'Gårdens info'!$D$42/'Gårdens info'!$D$37*'Gårdens info'!D27</f>
        <v>44.444444444444443</v>
      </c>
      <c r="G54" s="304" t="s">
        <v>14</v>
      </c>
      <c r="H54" s="617">
        <f>IF('Gårdens info'!G27&gt;0,F54/'Gårdens info'!G27,0)</f>
        <v>9.876543209876543E-3</v>
      </c>
      <c r="I54" s="304" t="s">
        <v>6</v>
      </c>
      <c r="J54" s="320">
        <f>F54*'Gårdens info'!D27</f>
        <v>44.444444444444443</v>
      </c>
      <c r="K54" s="304" t="s">
        <v>557</v>
      </c>
      <c r="L54" s="327"/>
      <c r="M54" s="321"/>
    </row>
    <row r="55" spans="1:26" s="8" customFormat="1" ht="21" x14ac:dyDescent="0.4">
      <c r="A55" s="427"/>
      <c r="B55" s="932" t="s">
        <v>226</v>
      </c>
      <c r="C55" s="933"/>
      <c r="D55" s="933"/>
      <c r="E55" s="324"/>
      <c r="F55" s="328">
        <f>F21+F44+F51+F53+F54</f>
        <v>24886.79405925926</v>
      </c>
      <c r="G55" s="329" t="s">
        <v>14</v>
      </c>
      <c r="H55" s="618">
        <f>H21+H44+H51+H53+H54</f>
        <v>5.5303986798353915</v>
      </c>
      <c r="I55" s="329" t="s">
        <v>6</v>
      </c>
      <c r="J55" s="331">
        <f>J21+J44+J51+J53+J54</f>
        <v>24886.79405925926</v>
      </c>
      <c r="K55" s="329" t="s">
        <v>557</v>
      </c>
      <c r="L55" s="329"/>
      <c r="M55" s="321"/>
    </row>
    <row r="56" spans="1:26" s="8" customFormat="1" ht="43.05" customHeight="1" x14ac:dyDescent="0.4">
      <c r="A56" s="427"/>
      <c r="B56" s="351"/>
      <c r="C56" s="332"/>
      <c r="D56" s="332"/>
      <c r="E56" s="324"/>
      <c r="F56" s="328"/>
      <c r="G56" s="329"/>
      <c r="H56" s="330"/>
      <c r="I56" s="329"/>
      <c r="J56" s="331"/>
      <c r="K56" s="329"/>
      <c r="L56" s="329"/>
      <c r="M56" s="321"/>
    </row>
    <row r="57" spans="1:26" ht="21" x14ac:dyDescent="0.4">
      <c r="B57" s="319" t="s">
        <v>560</v>
      </c>
      <c r="C57" s="286"/>
      <c r="D57" s="148"/>
      <c r="E57" s="148"/>
      <c r="F57" s="148"/>
      <c r="G57" s="148"/>
      <c r="H57" s="148"/>
      <c r="I57" s="148"/>
      <c r="J57" s="293"/>
      <c r="K57" s="148"/>
      <c r="L57" s="148"/>
      <c r="M57" s="287"/>
      <c r="N57" s="8"/>
      <c r="O57" s="8"/>
      <c r="P57" s="8"/>
      <c r="Q57" s="8"/>
      <c r="R57" s="8"/>
      <c r="S57" s="8"/>
      <c r="T57" s="8"/>
      <c r="U57" s="8"/>
      <c r="Y57" s="8"/>
      <c r="Z57" s="8"/>
    </row>
    <row r="58" spans="1:26" s="8" customFormat="1" ht="21" customHeight="1" x14ac:dyDescent="0.4">
      <c r="A58" s="427"/>
      <c r="B58" s="947" t="s">
        <v>149</v>
      </c>
      <c r="C58" s="948"/>
      <c r="D58" s="833"/>
      <c r="E58" s="324"/>
      <c r="F58" s="328"/>
      <c r="G58" s="329"/>
      <c r="H58" s="330"/>
      <c r="I58" s="329"/>
      <c r="J58" s="331"/>
      <c r="K58" s="329"/>
      <c r="L58" s="329"/>
      <c r="M58" s="321"/>
      <c r="N58"/>
      <c r="O58"/>
      <c r="P58"/>
      <c r="Q58"/>
      <c r="R58"/>
      <c r="S58"/>
      <c r="T58"/>
      <c r="U58"/>
      <c r="Y58"/>
      <c r="Z58"/>
    </row>
    <row r="59" spans="1:26" s="8" customFormat="1" ht="21" x14ac:dyDescent="0.4">
      <c r="A59" s="427"/>
      <c r="B59" s="350"/>
      <c r="C59" s="838" t="s">
        <v>264</v>
      </c>
      <c r="D59" s="833"/>
      <c r="E59" s="324"/>
      <c r="F59" s="338">
        <f>IF('Gårdens info'!$D$27&gt;0,J59/'Gårdens info'!$D$27,0)</f>
        <v>391.11111111111109</v>
      </c>
      <c r="G59" s="151" t="s">
        <v>14</v>
      </c>
      <c r="H59" s="613">
        <f>IF('Gårdens info'!$G$27&gt;0,F59/'Gårdens info'!$G$27,0)</f>
        <v>8.6913580246913577E-2</v>
      </c>
      <c r="I59" s="151" t="s">
        <v>6</v>
      </c>
      <c r="J59" s="298">
        <f>Ägendom!AW22</f>
        <v>391.11111111111109</v>
      </c>
      <c r="K59" s="151" t="s">
        <v>557</v>
      </c>
      <c r="L59" s="329"/>
      <c r="M59" s="321"/>
    </row>
    <row r="60" spans="1:26" s="8" customFormat="1" ht="21" x14ac:dyDescent="0.4">
      <c r="A60" s="427"/>
      <c r="B60" s="350"/>
      <c r="C60" s="838" t="s">
        <v>265</v>
      </c>
      <c r="D60" s="833"/>
      <c r="E60" s="324"/>
      <c r="F60" s="338">
        <f>IF('Gårdens info'!$D$27&gt;0,J60/'Gårdens info'!$D$27,0)</f>
        <v>244.44444444444443</v>
      </c>
      <c r="G60" s="151" t="s">
        <v>14</v>
      </c>
      <c r="H60" s="613">
        <f>IF('Gårdens info'!$G$27&gt;0,F60/'Gårdens info'!$G$27,0)</f>
        <v>5.4320987654320987E-2</v>
      </c>
      <c r="I60" s="151" t="s">
        <v>6</v>
      </c>
      <c r="J60" s="298">
        <f>Ägendom!BS22</f>
        <v>244.44444444444443</v>
      </c>
      <c r="K60" s="151" t="s">
        <v>557</v>
      </c>
      <c r="L60" s="329"/>
      <c r="M60" s="321"/>
    </row>
    <row r="61" spans="1:26" s="8" customFormat="1" ht="17.399999999999999" customHeight="1" x14ac:dyDescent="0.3">
      <c r="A61" s="427"/>
      <c r="B61" s="350"/>
      <c r="C61" s="941" t="s">
        <v>266</v>
      </c>
      <c r="D61" s="941"/>
      <c r="E61" s="324"/>
      <c r="F61" s="338">
        <f>IF('Gårdens info'!$D$27&gt;0,J61/'Gårdens info'!$D$27,0)</f>
        <v>97.777777777777771</v>
      </c>
      <c r="G61" s="151" t="s">
        <v>14</v>
      </c>
      <c r="H61" s="613">
        <f>IF('Gårdens info'!$G$27&gt;0,F61/'Gårdens info'!$G$27,0)</f>
        <v>2.1728395061728394E-2</v>
      </c>
      <c r="I61" s="151" t="s">
        <v>6</v>
      </c>
      <c r="J61" s="298">
        <f>Ägendom!CO22</f>
        <v>97.777777777777771</v>
      </c>
      <c r="K61" s="151" t="s">
        <v>557</v>
      </c>
      <c r="L61" s="329"/>
      <c r="M61" s="321"/>
    </row>
    <row r="62" spans="1:26" s="8" customFormat="1" ht="21" x14ac:dyDescent="0.4">
      <c r="A62" s="427"/>
      <c r="B62" s="350"/>
      <c r="C62" s="838" t="s">
        <v>399</v>
      </c>
      <c r="D62" s="833"/>
      <c r="E62" s="324"/>
      <c r="F62" s="338">
        <f>IF('Gårdens info'!$D$27&gt;0,J62/'Gårdens info'!$D$27,0)</f>
        <v>19.555555555555554</v>
      </c>
      <c r="G62" s="151" t="s">
        <v>14</v>
      </c>
      <c r="H62" s="613">
        <f>IF('Gårdens info'!$G$27&gt;0,F62/'Gårdens info'!$G$27,0)</f>
        <v>4.3456790123456782E-3</v>
      </c>
      <c r="I62" s="151" t="s">
        <v>6</v>
      </c>
      <c r="J62" s="298">
        <f>Ägendom!DK22</f>
        <v>19.555555555555554</v>
      </c>
      <c r="K62" s="151" t="s">
        <v>557</v>
      </c>
      <c r="L62" s="329"/>
      <c r="M62" s="321"/>
      <c r="Z62" s="8" t="s">
        <v>732</v>
      </c>
    </row>
    <row r="63" spans="1:26" s="8" customFormat="1" ht="20.399999999999999" x14ac:dyDescent="0.35">
      <c r="A63" s="427"/>
      <c r="B63" s="352"/>
      <c r="C63" s="340" t="s">
        <v>196</v>
      </c>
      <c r="D63" s="341"/>
      <c r="E63" s="324"/>
      <c r="F63" s="342">
        <f>SUM(F59:F62)</f>
        <v>752.8888888888888</v>
      </c>
      <c r="G63" s="151" t="s">
        <v>14</v>
      </c>
      <c r="H63" s="620">
        <f t="shared" ref="H63:J63" si="3">SUM(H59:H62)</f>
        <v>0.16730864197530862</v>
      </c>
      <c r="I63" s="151" t="s">
        <v>6</v>
      </c>
      <c r="J63" s="342">
        <f t="shared" si="3"/>
        <v>752.8888888888888</v>
      </c>
      <c r="K63" s="151" t="s">
        <v>557</v>
      </c>
      <c r="L63" s="343"/>
      <c r="M63" s="321"/>
    </row>
    <row r="64" spans="1:26" s="8" customFormat="1" ht="21" x14ac:dyDescent="0.4">
      <c r="A64" s="427"/>
      <c r="B64" s="350"/>
      <c r="C64" s="838"/>
      <c r="D64" s="833"/>
      <c r="E64" s="324"/>
      <c r="F64" s="338"/>
      <c r="G64" s="151"/>
      <c r="H64" s="339"/>
      <c r="I64" s="151"/>
      <c r="J64" s="298"/>
      <c r="K64" s="151"/>
      <c r="L64" s="329"/>
      <c r="M64" s="321"/>
    </row>
    <row r="65" spans="1:13" s="8" customFormat="1" ht="19.95" customHeight="1" x14ac:dyDescent="0.3">
      <c r="A65" s="427"/>
      <c r="B65" s="970" t="s">
        <v>400</v>
      </c>
      <c r="C65" s="971"/>
      <c r="D65" s="971"/>
      <c r="E65" s="324"/>
      <c r="F65" s="338"/>
      <c r="G65" s="151"/>
      <c r="H65" s="339"/>
      <c r="I65" s="151"/>
      <c r="J65" s="298"/>
      <c r="K65" s="151"/>
      <c r="L65" s="329"/>
      <c r="M65" s="321"/>
    </row>
    <row r="66" spans="1:13" s="8" customFormat="1" ht="21" x14ac:dyDescent="0.4">
      <c r="A66" s="427"/>
      <c r="B66" s="350"/>
      <c r="C66" s="838" t="s">
        <v>264</v>
      </c>
      <c r="D66" s="833"/>
      <c r="E66" s="324"/>
      <c r="F66" s="338">
        <f>IF('Gårdens info'!$D$27&gt;0,J66/'Gårdens info'!$D$27,0)</f>
        <v>150.8641975308642</v>
      </c>
      <c r="G66" s="151" t="s">
        <v>14</v>
      </c>
      <c r="H66" s="613">
        <f>IF('Gårdens info'!$G$27&gt;0,F66/'Gårdens info'!$G$27,0)</f>
        <v>3.3525377229080937E-2</v>
      </c>
      <c r="I66" s="151" t="s">
        <v>6</v>
      </c>
      <c r="J66" s="298">
        <f>Ägendom!AW51</f>
        <v>150.8641975308642</v>
      </c>
      <c r="K66" s="151" t="s">
        <v>557</v>
      </c>
      <c r="L66" s="329"/>
      <c r="M66" s="321"/>
    </row>
    <row r="67" spans="1:13" s="8" customFormat="1" ht="21" x14ac:dyDescent="0.4">
      <c r="A67" s="427"/>
      <c r="B67" s="350"/>
      <c r="C67" s="838" t="s">
        <v>265</v>
      </c>
      <c r="D67" s="833"/>
      <c r="E67" s="324"/>
      <c r="F67" s="338">
        <f>IF('Gårdens info'!$D$27&gt;0,J67/'Gårdens info'!$D$27,0)</f>
        <v>56.574074074074076</v>
      </c>
      <c r="G67" s="151" t="s">
        <v>14</v>
      </c>
      <c r="H67" s="613">
        <f>IF('Gårdens info'!$G$27&gt;0,F67/'Gårdens info'!$G$27,0)</f>
        <v>1.257201646090535E-2</v>
      </c>
      <c r="I67" s="151" t="s">
        <v>6</v>
      </c>
      <c r="J67" s="298">
        <f>Ägendom!BS51</f>
        <v>56.574074074074076</v>
      </c>
      <c r="K67" s="151" t="s">
        <v>557</v>
      </c>
      <c r="L67" s="329"/>
      <c r="M67" s="321"/>
    </row>
    <row r="68" spans="1:13" s="8" customFormat="1" ht="17.399999999999999" customHeight="1" x14ac:dyDescent="0.3">
      <c r="A68" s="427"/>
      <c r="B68" s="350"/>
      <c r="C68" s="941" t="s">
        <v>266</v>
      </c>
      <c r="D68" s="941"/>
      <c r="E68" s="324"/>
      <c r="F68" s="338">
        <f>IF('Gårdens info'!$D$27&gt;0,J68/'Gårdens info'!$D$27,0)</f>
        <v>140.77777777777774</v>
      </c>
      <c r="G68" s="151" t="s">
        <v>14</v>
      </c>
      <c r="H68" s="613">
        <f>IF('Gårdens info'!$G$27&gt;0,F68/'Gårdens info'!$G$27,0)</f>
        <v>3.1283950617283944E-2</v>
      </c>
      <c r="I68" s="151" t="s">
        <v>6</v>
      </c>
      <c r="J68" s="298">
        <f>Ägendom!CO51</f>
        <v>140.77777777777774</v>
      </c>
      <c r="K68" s="151" t="s">
        <v>557</v>
      </c>
      <c r="L68" s="329"/>
      <c r="M68" s="321"/>
    </row>
    <row r="69" spans="1:13" s="8" customFormat="1" ht="21" x14ac:dyDescent="0.4">
      <c r="A69" s="427"/>
      <c r="B69" s="350"/>
      <c r="C69" s="838" t="s">
        <v>399</v>
      </c>
      <c r="D69" s="833"/>
      <c r="E69" s="324"/>
      <c r="F69" s="338">
        <f>IF('Gårdens info'!$D$27&gt;0,J69/'Gårdens info'!$D$27,0)</f>
        <v>9.3851851851851844</v>
      </c>
      <c r="G69" s="151" t="s">
        <v>14</v>
      </c>
      <c r="H69" s="613">
        <f>IF('Gårdens info'!$G$27&gt;0,F69/'Gårdens info'!$G$27,0)</f>
        <v>2.0855967078189297E-3</v>
      </c>
      <c r="I69" s="151" t="s">
        <v>6</v>
      </c>
      <c r="J69" s="298">
        <f>Ägendom!DK51</f>
        <v>9.3851851851851844</v>
      </c>
      <c r="K69" s="151" t="s">
        <v>557</v>
      </c>
      <c r="L69" s="329"/>
      <c r="M69" s="321"/>
    </row>
    <row r="70" spans="1:13" s="8" customFormat="1" ht="20.399999999999999" x14ac:dyDescent="0.35">
      <c r="A70" s="427"/>
      <c r="B70" s="352"/>
      <c r="C70" s="340" t="s">
        <v>196</v>
      </c>
      <c r="D70" s="341"/>
      <c r="E70" s="324"/>
      <c r="F70" s="342">
        <f>SUM(F66:F69)</f>
        <v>357.60123456790126</v>
      </c>
      <c r="G70" s="151" t="s">
        <v>14</v>
      </c>
      <c r="H70" s="620">
        <f t="shared" ref="H70:J70" si="4">SUM(H66:H69)</f>
        <v>7.9466941015089151E-2</v>
      </c>
      <c r="I70" s="151" t="s">
        <v>6</v>
      </c>
      <c r="J70" s="342">
        <f t="shared" si="4"/>
        <v>357.60123456790126</v>
      </c>
      <c r="K70" s="151" t="s">
        <v>557</v>
      </c>
      <c r="L70" s="343"/>
      <c r="M70" s="321"/>
    </row>
    <row r="71" spans="1:13" s="8" customFormat="1" ht="21" x14ac:dyDescent="0.4">
      <c r="A71" s="427"/>
      <c r="B71" s="350"/>
      <c r="C71" s="838"/>
      <c r="D71" s="833"/>
      <c r="E71" s="324"/>
      <c r="F71" s="338"/>
      <c r="G71" s="151"/>
      <c r="H71" s="339"/>
      <c r="I71" s="151"/>
      <c r="J71" s="298"/>
      <c r="K71" s="151"/>
      <c r="L71" s="329"/>
      <c r="M71" s="321"/>
    </row>
    <row r="72" spans="1:13" s="8" customFormat="1" ht="19.95" customHeight="1" x14ac:dyDescent="0.3">
      <c r="A72" s="427"/>
      <c r="B72" s="947" t="s">
        <v>151</v>
      </c>
      <c r="C72" s="948"/>
      <c r="D72" s="948"/>
      <c r="E72" s="324"/>
      <c r="F72" s="338"/>
      <c r="G72" s="151"/>
      <c r="H72" s="339"/>
      <c r="I72" s="151"/>
      <c r="J72" s="298"/>
      <c r="K72" s="151"/>
      <c r="L72" s="329"/>
      <c r="M72" s="321"/>
    </row>
    <row r="73" spans="1:13" s="8" customFormat="1" ht="21" x14ac:dyDescent="0.4">
      <c r="A73" s="427"/>
      <c r="B73" s="350"/>
      <c r="C73" s="838" t="s">
        <v>264</v>
      </c>
      <c r="D73" s="833"/>
      <c r="E73" s="324"/>
      <c r="F73" s="338">
        <f>IF('Gårdens info'!$D$27&gt;0,J73/'Gårdens info'!$D$27,0)</f>
        <v>173.52380952380952</v>
      </c>
      <c r="G73" s="151" t="s">
        <v>14</v>
      </c>
      <c r="H73" s="613">
        <f>IF('Gårdens info'!$G$27&gt;0,F73/'Gårdens info'!$G$27,0)</f>
        <v>3.8560846560846559E-2</v>
      </c>
      <c r="I73" s="151" t="s">
        <v>6</v>
      </c>
      <c r="J73" s="298">
        <f>Ägendom!AW76</f>
        <v>173.52380952380952</v>
      </c>
      <c r="K73" s="151" t="s">
        <v>557</v>
      </c>
      <c r="L73" s="329"/>
      <c r="M73" s="321"/>
    </row>
    <row r="74" spans="1:13" s="8" customFormat="1" ht="21" x14ac:dyDescent="0.4">
      <c r="A74" s="427"/>
      <c r="B74" s="350"/>
      <c r="C74" s="838" t="s">
        <v>265</v>
      </c>
      <c r="D74" s="833"/>
      <c r="E74" s="324"/>
      <c r="F74" s="338">
        <f>IF('Gårdens info'!$D$27&gt;0,J74/'Gårdens info'!$D$27,0)</f>
        <v>29.984523809523811</v>
      </c>
      <c r="G74" s="151" t="s">
        <v>14</v>
      </c>
      <c r="H74" s="613">
        <f>IF('Gårdens info'!$G$27&gt;0,F74/'Gårdens info'!$G$27,0)</f>
        <v>6.6632275132275133E-3</v>
      </c>
      <c r="I74" s="151" t="s">
        <v>6</v>
      </c>
      <c r="J74" s="298">
        <f>Ägendom!BS76</f>
        <v>29.984523809523811</v>
      </c>
      <c r="K74" s="151" t="s">
        <v>557</v>
      </c>
      <c r="L74" s="329"/>
      <c r="M74" s="321"/>
    </row>
    <row r="75" spans="1:13" s="8" customFormat="1" ht="17.399999999999999" customHeight="1" x14ac:dyDescent="0.3">
      <c r="A75" s="427"/>
      <c r="B75" s="350"/>
      <c r="C75" s="941" t="s">
        <v>266</v>
      </c>
      <c r="D75" s="941"/>
      <c r="E75" s="324"/>
      <c r="F75" s="338">
        <f>IF('Gårdens info'!$D$27&gt;0,J75/'Gårdens info'!$D$27,0)</f>
        <v>88.677380952380958</v>
      </c>
      <c r="G75" s="151" t="s">
        <v>14</v>
      </c>
      <c r="H75" s="613">
        <f>IF('Gårdens info'!$G$27&gt;0,F75/'Gårdens info'!$G$27,0)</f>
        <v>1.9706084656084658E-2</v>
      </c>
      <c r="I75" s="151" t="s">
        <v>6</v>
      </c>
      <c r="J75" s="298">
        <f>Ägendom!CO76</f>
        <v>88.677380952380958</v>
      </c>
      <c r="K75" s="151" t="s">
        <v>557</v>
      </c>
      <c r="L75" s="329"/>
      <c r="M75" s="321"/>
    </row>
    <row r="76" spans="1:13" s="8" customFormat="1" ht="21" x14ac:dyDescent="0.4">
      <c r="A76" s="427"/>
      <c r="B76" s="350"/>
      <c r="C76" s="838" t="s">
        <v>399</v>
      </c>
      <c r="D76" s="833"/>
      <c r="E76" s="324"/>
      <c r="F76" s="338">
        <f>IF('Gårdens info'!$D$27&gt;0,J76/'Gårdens info'!$D$27,0)</f>
        <v>3.5470952380952379</v>
      </c>
      <c r="G76" s="151" t="s">
        <v>14</v>
      </c>
      <c r="H76" s="613">
        <f>IF('Gårdens info'!$G$27&gt;0,F76/'Gårdens info'!$G$27,0)</f>
        <v>7.8824338624338623E-4</v>
      </c>
      <c r="I76" s="151" t="s">
        <v>6</v>
      </c>
      <c r="J76" s="298">
        <f>Ägendom!DK76</f>
        <v>3.5470952380952379</v>
      </c>
      <c r="K76" s="151" t="s">
        <v>557</v>
      </c>
      <c r="L76" s="329"/>
      <c r="M76" s="321"/>
    </row>
    <row r="77" spans="1:13" s="8" customFormat="1" ht="20.399999999999999" x14ac:dyDescent="0.35">
      <c r="A77" s="427"/>
      <c r="B77" s="352"/>
      <c r="C77" s="340" t="s">
        <v>196</v>
      </c>
      <c r="D77" s="341"/>
      <c r="E77" s="324"/>
      <c r="F77" s="342">
        <f>SUM(F73:F76)</f>
        <v>295.73280952380952</v>
      </c>
      <c r="G77" s="151" t="s">
        <v>14</v>
      </c>
      <c r="H77" s="620">
        <f t="shared" ref="H77:J77" si="5">SUM(H73:H76)</f>
        <v>6.5718402116402119E-2</v>
      </c>
      <c r="I77" s="151" t="s">
        <v>6</v>
      </c>
      <c r="J77" s="342">
        <f t="shared" si="5"/>
        <v>295.73280952380952</v>
      </c>
      <c r="K77" s="151" t="s">
        <v>557</v>
      </c>
      <c r="L77" s="343"/>
      <c r="M77" s="321"/>
    </row>
    <row r="78" spans="1:13" s="8" customFormat="1" ht="21" x14ac:dyDescent="0.4">
      <c r="A78" s="427"/>
      <c r="B78" s="350"/>
      <c r="C78" s="838"/>
      <c r="D78" s="833"/>
      <c r="E78" s="324"/>
      <c r="F78" s="338"/>
      <c r="G78" s="151"/>
      <c r="H78" s="339"/>
      <c r="I78" s="151"/>
      <c r="J78" s="298"/>
      <c r="K78" s="151"/>
      <c r="L78" s="329"/>
      <c r="M78" s="321"/>
    </row>
    <row r="79" spans="1:13" s="8" customFormat="1" ht="21" customHeight="1" x14ac:dyDescent="0.4">
      <c r="A79" s="427"/>
      <c r="B79" s="951" t="s">
        <v>160</v>
      </c>
      <c r="C79" s="952"/>
      <c r="D79" s="833"/>
      <c r="E79" s="324"/>
      <c r="F79" s="338"/>
      <c r="G79" s="151"/>
      <c r="H79" s="339"/>
      <c r="I79" s="151"/>
      <c r="J79" s="298"/>
      <c r="K79" s="151"/>
      <c r="L79" s="329"/>
      <c r="M79" s="321"/>
    </row>
    <row r="80" spans="1:13" s="8" customFormat="1" ht="21" x14ac:dyDescent="0.4">
      <c r="A80" s="427"/>
      <c r="B80" s="350"/>
      <c r="C80" s="838" t="s">
        <v>264</v>
      </c>
      <c r="D80" s="833"/>
      <c r="E80" s="324"/>
      <c r="F80" s="338">
        <f>IF('Gårdens info'!$D$27&gt;0,J80/'Gårdens info'!$D$27,0)</f>
        <v>0</v>
      </c>
      <c r="G80" s="151" t="s">
        <v>14</v>
      </c>
      <c r="H80" s="613">
        <f>IF('Gårdens info'!$G$27&gt;0,F80/'Gårdens info'!$G$27,0)</f>
        <v>0</v>
      </c>
      <c r="I80" s="151" t="s">
        <v>6</v>
      </c>
      <c r="J80" s="298">
        <f>Ägendom!AW79</f>
        <v>0</v>
      </c>
      <c r="K80" s="151" t="s">
        <v>557</v>
      </c>
      <c r="L80" s="329"/>
      <c r="M80" s="321"/>
    </row>
    <row r="81" spans="1:26" s="8" customFormat="1" ht="21" x14ac:dyDescent="0.4">
      <c r="A81" s="427"/>
      <c r="B81" s="350"/>
      <c r="C81" s="838" t="s">
        <v>265</v>
      </c>
      <c r="D81" s="833"/>
      <c r="E81" s="324"/>
      <c r="F81" s="338">
        <f>IF('Gårdens info'!$D$27&gt;0,J81/'Gårdens info'!$D$27,0)</f>
        <v>0</v>
      </c>
      <c r="G81" s="151" t="s">
        <v>14</v>
      </c>
      <c r="H81" s="613">
        <f>IF('Gårdens info'!$G$27&gt;0,F81/'Gårdens info'!$G$27,0)</f>
        <v>0</v>
      </c>
      <c r="I81" s="151" t="s">
        <v>6</v>
      </c>
      <c r="J81" s="298">
        <f>Ägendom!BS79</f>
        <v>0</v>
      </c>
      <c r="K81" s="151" t="s">
        <v>557</v>
      </c>
      <c r="L81" s="329"/>
      <c r="M81" s="321"/>
    </row>
    <row r="82" spans="1:26" s="8" customFormat="1" ht="17.399999999999999" customHeight="1" x14ac:dyDescent="0.3">
      <c r="A82" s="427"/>
      <c r="B82" s="350"/>
      <c r="C82" s="941" t="s">
        <v>266</v>
      </c>
      <c r="D82" s="941"/>
      <c r="E82" s="324"/>
      <c r="F82" s="338">
        <f>IF('Gårdens info'!$D$27&gt;0,J82/'Gårdens info'!$D$27,0)</f>
        <v>22.222222222222221</v>
      </c>
      <c r="G82" s="151" t="s">
        <v>14</v>
      </c>
      <c r="H82" s="613">
        <f>IF('Gårdens info'!$G$27&gt;0,F82/'Gårdens info'!$G$27,0)</f>
        <v>4.9382716049382715E-3</v>
      </c>
      <c r="I82" s="151" t="s">
        <v>6</v>
      </c>
      <c r="J82" s="298">
        <f>Ägendom!CO79</f>
        <v>22.222222222222221</v>
      </c>
      <c r="K82" s="151" t="s">
        <v>557</v>
      </c>
      <c r="L82" s="329"/>
      <c r="M82" s="321"/>
    </row>
    <row r="83" spans="1:26" s="239" customFormat="1" ht="15.6" x14ac:dyDescent="0.3">
      <c r="A83" s="431"/>
      <c r="B83" s="349"/>
      <c r="C83" s="323" t="s">
        <v>196</v>
      </c>
      <c r="D83" s="323"/>
      <c r="E83" s="323"/>
      <c r="F83" s="342">
        <f>SUM(F80:F82)</f>
        <v>22.222222222222221</v>
      </c>
      <c r="G83" s="151" t="s">
        <v>14</v>
      </c>
      <c r="H83" s="620">
        <f t="shared" ref="H83:J83" si="6">SUM(H80:H82)</f>
        <v>4.9382716049382715E-3</v>
      </c>
      <c r="I83" s="151" t="s">
        <v>6</v>
      </c>
      <c r="J83" s="342">
        <f t="shared" si="6"/>
        <v>22.222222222222221</v>
      </c>
      <c r="K83" s="151" t="s">
        <v>557</v>
      </c>
      <c r="L83" s="347"/>
      <c r="M83" s="353"/>
      <c r="N83" s="8"/>
      <c r="O83" s="8"/>
      <c r="P83" s="8"/>
      <c r="Q83" s="8"/>
      <c r="R83" s="8"/>
      <c r="S83" s="8"/>
      <c r="T83" s="8"/>
      <c r="U83" s="8"/>
      <c r="Y83" s="8"/>
      <c r="Z83" s="8"/>
    </row>
    <row r="84" spans="1:26" s="8" customFormat="1" ht="21" customHeight="1" x14ac:dyDescent="0.4">
      <c r="A84" s="427"/>
      <c r="B84" s="932" t="s">
        <v>229</v>
      </c>
      <c r="C84" s="933"/>
      <c r="D84" s="933"/>
      <c r="E84" s="324"/>
      <c r="F84" s="328">
        <f>F63+F70+F77+F83</f>
        <v>1428.4451552028218</v>
      </c>
      <c r="G84" s="329" t="s">
        <v>14</v>
      </c>
      <c r="H84" s="618">
        <f>H63+H70+H77+H83</f>
        <v>0.31743225671173814</v>
      </c>
      <c r="I84" s="329" t="s">
        <v>6</v>
      </c>
      <c r="J84" s="331">
        <f>J63+J70+J77+J83</f>
        <v>1428.4451552028218</v>
      </c>
      <c r="K84" s="329" t="s">
        <v>557</v>
      </c>
      <c r="L84" s="329"/>
      <c r="M84" s="321"/>
      <c r="N84" s="239"/>
      <c r="O84" s="239"/>
      <c r="P84" s="239"/>
      <c r="Q84" s="239"/>
      <c r="R84" s="239"/>
      <c r="S84" s="239"/>
      <c r="T84" s="239"/>
      <c r="U84" s="239"/>
      <c r="Y84" s="239"/>
      <c r="Z84" s="239"/>
    </row>
    <row r="85" spans="1:26" s="8" customFormat="1" ht="40.950000000000003" customHeight="1" x14ac:dyDescent="0.3">
      <c r="A85" s="427"/>
      <c r="B85" s="349"/>
      <c r="C85" s="324"/>
      <c r="D85" s="324"/>
      <c r="E85" s="324"/>
      <c r="F85" s="325"/>
      <c r="G85" s="304"/>
      <c r="H85" s="326"/>
      <c r="I85" s="304"/>
      <c r="J85" s="320"/>
      <c r="K85" s="304"/>
      <c r="L85" s="327"/>
      <c r="M85" s="321"/>
    </row>
    <row r="86" spans="1:26" s="8" customFormat="1" ht="21" x14ac:dyDescent="0.4">
      <c r="A86" s="427"/>
      <c r="B86" s="319" t="s">
        <v>230</v>
      </c>
      <c r="C86" s="324"/>
      <c r="D86" s="324"/>
      <c r="E86" s="324"/>
      <c r="F86" s="325"/>
      <c r="G86" s="304"/>
      <c r="H86" s="326"/>
      <c r="I86" s="304"/>
      <c r="J86" s="320"/>
      <c r="K86" s="304"/>
      <c r="L86" s="327"/>
      <c r="M86" s="321"/>
    </row>
    <row r="87" spans="1:26" s="77" customFormat="1" ht="17.399999999999999" x14ac:dyDescent="0.3">
      <c r="A87" s="428"/>
      <c r="B87" s="972" t="s">
        <v>383</v>
      </c>
      <c r="C87" s="973"/>
      <c r="D87" s="973"/>
      <c r="E87" s="153"/>
      <c r="F87" s="153"/>
      <c r="G87" s="153"/>
      <c r="H87" s="153"/>
      <c r="I87" s="153"/>
      <c r="J87" s="294"/>
      <c r="K87" s="153"/>
      <c r="L87" s="153"/>
      <c r="M87" s="295"/>
      <c r="N87" s="8"/>
      <c r="O87" s="8"/>
      <c r="P87" s="8"/>
      <c r="Q87" s="8"/>
      <c r="R87" s="8"/>
      <c r="S87" s="8"/>
      <c r="T87" s="8"/>
      <c r="U87" s="8"/>
      <c r="Y87" s="8"/>
      <c r="Z87" s="8"/>
    </row>
    <row r="88" spans="1:26" s="91" customFormat="1" ht="17.399999999999999" x14ac:dyDescent="0.3">
      <c r="A88" s="429"/>
      <c r="B88" s="296"/>
      <c r="C88" s="289" t="s">
        <v>230</v>
      </c>
      <c r="D88" s="297"/>
      <c r="E88" s="297"/>
      <c r="F88" s="298">
        <f>IF('Gårdens info'!D27&gt;0,H181/'Gårdens info'!I27,0)</f>
        <v>173.27500000000001</v>
      </c>
      <c r="G88" s="151" t="s">
        <v>14</v>
      </c>
      <c r="H88" s="614">
        <f>IF('Gårdens info'!G27&gt;0,F88/'Gårdens info'!$G$27,0)</f>
        <v>3.8505555555555557E-2</v>
      </c>
      <c r="I88" s="151" t="s">
        <v>6</v>
      </c>
      <c r="J88" s="298">
        <f>F88*'Gårdens info'!D27</f>
        <v>173.27500000000001</v>
      </c>
      <c r="K88" s="151" t="s">
        <v>557</v>
      </c>
      <c r="L88" s="297"/>
      <c r="M88" s="300"/>
      <c r="N88" s="77"/>
      <c r="O88" s="77"/>
      <c r="P88" s="77"/>
      <c r="Q88" s="77"/>
      <c r="R88" s="77"/>
      <c r="S88" s="77"/>
      <c r="T88" s="77"/>
      <c r="U88" s="77"/>
      <c r="Y88" s="77"/>
      <c r="Z88" s="77"/>
    </row>
    <row r="89" spans="1:26" s="8" customFormat="1" ht="15.6" x14ac:dyDescent="0.3">
      <c r="A89" s="427"/>
      <c r="B89" s="349"/>
      <c r="C89" s="324"/>
      <c r="D89" s="324"/>
      <c r="E89" s="324"/>
      <c r="F89" s="325"/>
      <c r="G89" s="304"/>
      <c r="H89" s="326"/>
      <c r="I89" s="304"/>
      <c r="J89" s="320"/>
      <c r="K89" s="304"/>
      <c r="L89" s="327"/>
      <c r="M89" s="321"/>
      <c r="N89" s="91"/>
      <c r="O89" s="91"/>
      <c r="P89" s="91"/>
      <c r="Q89" s="91"/>
      <c r="R89" s="91"/>
      <c r="S89" s="91"/>
      <c r="T89" s="91"/>
      <c r="U89" s="91"/>
      <c r="Y89" s="91"/>
      <c r="Z89" s="91"/>
    </row>
    <row r="90" spans="1:26" s="77" customFormat="1" ht="17.399999999999999" x14ac:dyDescent="0.3">
      <c r="A90" s="428"/>
      <c r="B90" s="972" t="s">
        <v>561</v>
      </c>
      <c r="C90" s="973"/>
      <c r="D90" s="973"/>
      <c r="E90" s="153"/>
      <c r="F90" s="153"/>
      <c r="G90" s="153"/>
      <c r="H90" s="153"/>
      <c r="I90" s="153"/>
      <c r="J90" s="294"/>
      <c r="K90" s="153"/>
      <c r="L90" s="153"/>
      <c r="M90" s="295"/>
      <c r="N90" s="8"/>
      <c r="O90" s="8"/>
      <c r="P90" s="8"/>
      <c r="Q90" s="8"/>
      <c r="R90" s="8"/>
      <c r="S90" s="8"/>
      <c r="T90" s="8"/>
      <c r="U90" s="8"/>
      <c r="Y90" s="8"/>
      <c r="Z90" s="8"/>
    </row>
    <row r="91" spans="1:26" s="91" customFormat="1" ht="17.399999999999999" x14ac:dyDescent="0.3">
      <c r="A91" s="429"/>
      <c r="B91" s="296"/>
      <c r="C91" s="289" t="s">
        <v>230</v>
      </c>
      <c r="D91" s="297"/>
      <c r="E91" s="297"/>
      <c r="F91" s="298">
        <f>IF('Gårdens info'!D27&gt;0,H286*'Gårdens info'!K27/'Gårdens info'!I27,0)</f>
        <v>197.2</v>
      </c>
      <c r="G91" s="151" t="s">
        <v>14</v>
      </c>
      <c r="H91" s="614">
        <f>IF('Gårdens info'!G27&gt;0,F91/'Gårdens info'!$G$27,0)</f>
        <v>4.3822222222222221E-2</v>
      </c>
      <c r="I91" s="151" t="s">
        <v>6</v>
      </c>
      <c r="J91" s="298">
        <f>F91*'Gårdens info'!D27</f>
        <v>197.2</v>
      </c>
      <c r="K91" s="151" t="s">
        <v>557</v>
      </c>
      <c r="L91" s="297"/>
      <c r="M91" s="300"/>
      <c r="N91" s="77"/>
      <c r="O91" s="77"/>
      <c r="P91" s="77"/>
      <c r="Q91" s="77"/>
      <c r="R91" s="77"/>
      <c r="S91" s="77"/>
      <c r="T91" s="77"/>
      <c r="U91" s="77"/>
      <c r="Y91" s="77"/>
      <c r="Z91" s="77"/>
    </row>
    <row r="92" spans="1:26" s="8" customFormat="1" ht="15.6" x14ac:dyDescent="0.3">
      <c r="A92" s="427"/>
      <c r="B92" s="349"/>
      <c r="C92" s="324"/>
      <c r="D92" s="324"/>
      <c r="E92" s="324"/>
      <c r="F92" s="325"/>
      <c r="G92" s="304"/>
      <c r="H92" s="326"/>
      <c r="I92" s="304"/>
      <c r="J92" s="320"/>
      <c r="K92" s="304"/>
      <c r="L92" s="327"/>
      <c r="M92" s="321"/>
      <c r="N92" s="91"/>
      <c r="O92" s="91"/>
      <c r="P92" s="91"/>
      <c r="Q92" s="91"/>
      <c r="R92" s="91"/>
      <c r="S92" s="91"/>
      <c r="T92" s="91"/>
      <c r="U92" s="91"/>
      <c r="Y92" s="91"/>
      <c r="Z92" s="91"/>
    </row>
    <row r="93" spans="1:26" s="77" customFormat="1" ht="17.399999999999999" x14ac:dyDescent="0.3">
      <c r="A93" s="428"/>
      <c r="B93" s="612" t="s">
        <v>270</v>
      </c>
      <c r="C93" s="306"/>
      <c r="D93" s="310"/>
      <c r="E93" s="310"/>
      <c r="F93" s="311"/>
      <c r="G93" s="153"/>
      <c r="H93" s="310"/>
      <c r="I93" s="310"/>
      <c r="J93" s="310"/>
      <c r="K93" s="310"/>
      <c r="L93" s="310"/>
      <c r="M93" s="295"/>
      <c r="N93" s="8"/>
      <c r="O93" s="8"/>
      <c r="P93" s="8"/>
      <c r="Q93" s="8"/>
      <c r="R93" s="8"/>
      <c r="S93" s="8"/>
      <c r="T93" s="8"/>
      <c r="U93" s="8"/>
      <c r="Y93" s="8"/>
      <c r="Z93" s="8"/>
    </row>
    <row r="94" spans="1:26" s="91" customFormat="1" ht="17.399999999999999" x14ac:dyDescent="0.3">
      <c r="A94" s="429"/>
      <c r="B94" s="296"/>
      <c r="C94" s="289" t="s">
        <v>230</v>
      </c>
      <c r="D94" s="297"/>
      <c r="E94" s="297"/>
      <c r="F94" s="298">
        <f>IF('Gårdens info'!D27&gt;0,H380,0)</f>
        <v>1725.5</v>
      </c>
      <c r="G94" s="151" t="s">
        <v>14</v>
      </c>
      <c r="H94" s="614">
        <f>IF('Gårdens info'!G27&gt;0,F94/'Gårdens info'!$G$27,0)</f>
        <v>0.38344444444444442</v>
      </c>
      <c r="I94" s="151" t="s">
        <v>6</v>
      </c>
      <c r="J94" s="298">
        <f>F94*'Gårdens info'!D27</f>
        <v>1725.5</v>
      </c>
      <c r="K94" s="151" t="s">
        <v>557</v>
      </c>
      <c r="L94" s="297"/>
      <c r="M94" s="300"/>
      <c r="N94" s="77"/>
      <c r="O94" s="77"/>
      <c r="P94" s="77"/>
      <c r="Q94" s="77"/>
      <c r="R94" s="77"/>
      <c r="S94" s="77"/>
      <c r="T94" s="77"/>
      <c r="U94" s="77"/>
      <c r="Y94" s="77"/>
      <c r="Z94" s="77"/>
    </row>
    <row r="95" spans="1:26" s="77" customFormat="1" ht="17.399999999999999" x14ac:dyDescent="0.3">
      <c r="A95" s="428"/>
      <c r="B95" s="309"/>
      <c r="C95" s="306"/>
      <c r="D95" s="310"/>
      <c r="E95" s="310"/>
      <c r="F95" s="311"/>
      <c r="G95" s="153"/>
      <c r="H95" s="310"/>
      <c r="I95" s="310"/>
      <c r="J95" s="310"/>
      <c r="K95" s="310"/>
      <c r="L95" s="310"/>
      <c r="M95" s="295"/>
      <c r="N95" s="91"/>
      <c r="O95" s="91"/>
      <c r="P95" s="91"/>
      <c r="Q95" s="91"/>
      <c r="R95" s="91"/>
      <c r="S95" s="91"/>
      <c r="T95" s="91"/>
      <c r="U95" s="91"/>
      <c r="Y95" s="91"/>
      <c r="Z95" s="91"/>
    </row>
    <row r="96" spans="1:26" ht="27" customHeight="1" x14ac:dyDescent="0.3">
      <c r="B96" s="612" t="s">
        <v>492</v>
      </c>
      <c r="C96" s="306"/>
      <c r="D96" s="307"/>
      <c r="E96" s="307"/>
      <c r="F96" s="307"/>
      <c r="G96" s="307"/>
      <c r="H96" s="307"/>
      <c r="I96" s="307"/>
      <c r="J96" s="307"/>
      <c r="K96" s="307"/>
      <c r="L96" s="307"/>
      <c r="M96" s="287"/>
      <c r="N96" s="77"/>
      <c r="O96" s="77"/>
      <c r="P96" s="77"/>
      <c r="Q96" s="77"/>
      <c r="R96" s="77"/>
      <c r="S96" s="77"/>
      <c r="T96" s="77"/>
      <c r="U96" s="77"/>
      <c r="Y96" s="77"/>
      <c r="Z96" s="77"/>
    </row>
    <row r="97" spans="1:26" s="91" customFormat="1" ht="15" x14ac:dyDescent="0.25">
      <c r="A97" s="429"/>
      <c r="B97" s="296"/>
      <c r="C97" s="289" t="s">
        <v>230</v>
      </c>
      <c r="D97" s="297"/>
      <c r="E97" s="297"/>
      <c r="F97" s="298">
        <f>IF('Gårdens info'!D27&gt;0,H430/'Gårdens info'!I27,0)</f>
        <v>2.9</v>
      </c>
      <c r="G97" s="151" t="s">
        <v>14</v>
      </c>
      <c r="H97" s="614">
        <f>IF('Gårdens info'!G27&gt;0,F97/'Gårdens info'!$G$27,0)</f>
        <v>6.4444444444444445E-4</v>
      </c>
      <c r="I97" s="151" t="s">
        <v>6</v>
      </c>
      <c r="J97" s="298">
        <f>F97*'Gårdens info'!D27</f>
        <v>2.9</v>
      </c>
      <c r="K97" s="151" t="s">
        <v>557</v>
      </c>
      <c r="L97" s="297"/>
      <c r="M97" s="300"/>
      <c r="N97"/>
      <c r="O97"/>
      <c r="P97"/>
      <c r="Q97"/>
      <c r="R97"/>
      <c r="S97"/>
      <c r="T97"/>
      <c r="U97"/>
      <c r="Y97"/>
      <c r="Z97"/>
    </row>
    <row r="98" spans="1:26" s="8" customFormat="1" ht="21" x14ac:dyDescent="0.4">
      <c r="A98" s="427"/>
      <c r="B98" s="932" t="s">
        <v>230</v>
      </c>
      <c r="C98" s="933"/>
      <c r="D98" s="933"/>
      <c r="E98" s="324"/>
      <c r="F98" s="328">
        <f>F88+F91+F94+F97</f>
        <v>2098.875</v>
      </c>
      <c r="G98" s="329" t="s">
        <v>14</v>
      </c>
      <c r="H98" s="618">
        <f>H88+H91+H94+H97</f>
        <v>0.46641666666666665</v>
      </c>
      <c r="I98" s="329" t="s">
        <v>6</v>
      </c>
      <c r="J98" s="331">
        <f>J88+J91+J94+J97</f>
        <v>2098.875</v>
      </c>
      <c r="K98" s="329" t="s">
        <v>557</v>
      </c>
      <c r="L98" s="329"/>
      <c r="M98" s="321"/>
      <c r="N98" s="91"/>
      <c r="O98" s="91"/>
      <c r="P98" s="91"/>
      <c r="Q98" s="91"/>
      <c r="R98" s="91"/>
      <c r="S98" s="91"/>
      <c r="T98" s="91"/>
      <c r="U98" s="91"/>
      <c r="Y98" s="91"/>
      <c r="Z98" s="91"/>
    </row>
    <row r="99" spans="1:26" s="8" customFormat="1" ht="21" x14ac:dyDescent="0.4">
      <c r="A99" s="427"/>
      <c r="B99" s="689"/>
      <c r="C99" s="690"/>
      <c r="D99" s="690"/>
      <c r="E99" s="324"/>
      <c r="F99" s="328"/>
      <c r="G99" s="329"/>
      <c r="H99" s="618"/>
      <c r="I99" s="329"/>
      <c r="J99" s="331"/>
      <c r="K99" s="329"/>
      <c r="L99" s="329"/>
      <c r="M99" s="321"/>
      <c r="Y99" s="91"/>
      <c r="Z99" s="91"/>
    </row>
    <row r="100" spans="1:26" s="8" customFormat="1" ht="21" x14ac:dyDescent="0.4">
      <c r="A100" s="427"/>
      <c r="B100" s="932" t="s">
        <v>268</v>
      </c>
      <c r="C100" s="933"/>
      <c r="D100" s="933"/>
      <c r="E100" s="324"/>
      <c r="F100" s="328">
        <f>F55+F84+F98</f>
        <v>28414.114214462083</v>
      </c>
      <c r="G100" s="329" t="s">
        <v>14</v>
      </c>
      <c r="H100" s="705">
        <f>H55+H84+H98</f>
        <v>6.3142476032137962</v>
      </c>
      <c r="I100" s="329" t="s">
        <v>6</v>
      </c>
      <c r="J100" s="328">
        <f>J55+J84+J98</f>
        <v>28414.114214462083</v>
      </c>
      <c r="K100" s="329" t="s">
        <v>557</v>
      </c>
      <c r="L100" s="329"/>
      <c r="M100" s="321"/>
      <c r="Y100" s="91"/>
      <c r="Z100" s="91"/>
    </row>
    <row r="101" spans="1:26" s="8" customFormat="1" ht="21" x14ac:dyDescent="0.4">
      <c r="A101" s="427"/>
      <c r="B101" s="351"/>
      <c r="C101" s="332"/>
      <c r="D101" s="332"/>
      <c r="E101" s="324"/>
      <c r="F101" s="328"/>
      <c r="G101" s="329"/>
      <c r="H101" s="330"/>
      <c r="I101" s="329"/>
      <c r="J101" s="331"/>
      <c r="K101" s="329"/>
      <c r="L101" s="329"/>
      <c r="M101" s="321"/>
    </row>
    <row r="102" spans="1:26" s="8" customFormat="1" ht="21.6" thickBot="1" x14ac:dyDescent="0.45">
      <c r="A102" s="427"/>
      <c r="B102" s="936" t="s">
        <v>269</v>
      </c>
      <c r="C102" s="937"/>
      <c r="D102" s="937"/>
      <c r="E102" s="315"/>
      <c r="F102" s="355">
        <f>F11-F55-F84-F98</f>
        <v>25270.885785537917</v>
      </c>
      <c r="G102" s="356" t="s">
        <v>14</v>
      </c>
      <c r="H102" s="621">
        <f>H11-H55-H84-H98</f>
        <v>5.6157523967862035</v>
      </c>
      <c r="I102" s="356" t="s">
        <v>6</v>
      </c>
      <c r="J102" s="355">
        <f>J11-J55-J84-J98</f>
        <v>25270.885785537917</v>
      </c>
      <c r="K102" s="356" t="s">
        <v>557</v>
      </c>
      <c r="L102" s="356"/>
      <c r="M102" s="316"/>
    </row>
    <row r="103" spans="1:26" ht="57" customHeight="1" thickBot="1" x14ac:dyDescent="0.45">
      <c r="B103" s="546"/>
      <c r="C103" s="534"/>
      <c r="D103" s="534"/>
      <c r="E103" s="534"/>
      <c r="F103" s="534"/>
      <c r="G103" s="534"/>
      <c r="H103" s="534"/>
      <c r="I103" s="534"/>
      <c r="J103" s="534"/>
      <c r="K103" s="534"/>
      <c r="L103" s="534"/>
      <c r="M103" s="534"/>
      <c r="N103" s="8"/>
      <c r="O103" s="8"/>
      <c r="P103" s="8"/>
      <c r="Q103" s="8"/>
      <c r="R103" s="8"/>
      <c r="S103" s="8"/>
      <c r="T103" s="8"/>
      <c r="U103" s="8"/>
      <c r="Y103" s="8"/>
      <c r="Z103" s="8"/>
    </row>
    <row r="104" spans="1:26" ht="22.95" customHeight="1" thickBot="1" x14ac:dyDescent="0.45">
      <c r="B104" s="977" t="s">
        <v>383</v>
      </c>
      <c r="C104" s="978"/>
      <c r="D104" s="978"/>
      <c r="E104" s="979"/>
      <c r="F104" s="534"/>
      <c r="G104" s="534"/>
      <c r="H104" s="534"/>
      <c r="I104" s="534"/>
      <c r="J104" s="983" t="s">
        <v>271</v>
      </c>
      <c r="K104" s="983"/>
      <c r="L104" s="983"/>
      <c r="M104" s="534"/>
    </row>
    <row r="105" spans="1:26" ht="28.05" customHeight="1" x14ac:dyDescent="0.4">
      <c r="B105" s="538"/>
      <c r="C105" s="538"/>
      <c r="D105" s="538"/>
      <c r="E105" s="538"/>
      <c r="F105" s="534"/>
      <c r="G105" s="534"/>
      <c r="H105" s="534"/>
      <c r="I105" s="534"/>
      <c r="J105" s="534"/>
      <c r="K105" s="534"/>
      <c r="L105" s="534"/>
      <c r="M105" s="534"/>
    </row>
    <row r="106" spans="1:26" ht="15.6" x14ac:dyDescent="0.3">
      <c r="B106" s="113" t="s">
        <v>401</v>
      </c>
      <c r="C106" s="65"/>
      <c r="D106" s="65"/>
      <c r="E106" s="65"/>
      <c r="F106" s="959" t="s">
        <v>159</v>
      </c>
      <c r="G106" s="959"/>
      <c r="H106" s="959" t="s">
        <v>158</v>
      </c>
      <c r="I106" s="959"/>
      <c r="J106" s="959" t="s">
        <v>324</v>
      </c>
      <c r="K106" s="959"/>
      <c r="L106" s="143" t="s">
        <v>274</v>
      </c>
      <c r="M106" s="67"/>
    </row>
    <row r="107" spans="1:26" ht="13.8" thickBot="1" x14ac:dyDescent="0.3">
      <c r="B107" s="69"/>
      <c r="C107" s="65"/>
      <c r="D107" s="65"/>
      <c r="E107" s="65"/>
      <c r="F107" s="65"/>
      <c r="G107" s="65"/>
      <c r="H107" s="65"/>
      <c r="I107" s="65"/>
      <c r="J107" s="67"/>
      <c r="K107" s="67"/>
      <c r="L107" s="67"/>
      <c r="M107" s="67"/>
    </row>
    <row r="108" spans="1:26" ht="13.8" thickBot="1" x14ac:dyDescent="0.3">
      <c r="B108" s="65"/>
      <c r="C108" s="66" t="s">
        <v>562</v>
      </c>
      <c r="D108" s="67"/>
      <c r="E108" s="65"/>
      <c r="F108" s="118">
        <v>6100</v>
      </c>
      <c r="G108" s="65" t="s">
        <v>327</v>
      </c>
      <c r="H108" s="95">
        <v>3.3</v>
      </c>
      <c r="I108" s="70" t="s">
        <v>152</v>
      </c>
      <c r="J108" s="235">
        <f>F108*H108</f>
        <v>20130</v>
      </c>
      <c r="K108" s="65" t="s">
        <v>14</v>
      </c>
      <c r="L108" s="65" t="s">
        <v>500</v>
      </c>
      <c r="M108" s="67"/>
    </row>
    <row r="109" spans="1:26" ht="13.8" thickBot="1" x14ac:dyDescent="0.3">
      <c r="B109" s="65"/>
      <c r="C109" s="65" t="s">
        <v>403</v>
      </c>
      <c r="D109" s="66"/>
      <c r="E109" s="65"/>
      <c r="F109" s="118"/>
      <c r="G109" s="65" t="s">
        <v>327</v>
      </c>
      <c r="H109" s="95"/>
      <c r="I109" s="70" t="s">
        <v>152</v>
      </c>
      <c r="J109" s="235">
        <f t="shared" ref="J109:J112" si="7">F109*H109</f>
        <v>0</v>
      </c>
      <c r="K109" s="65" t="s">
        <v>14</v>
      </c>
      <c r="L109" s="67"/>
      <c r="M109" s="67"/>
    </row>
    <row r="110" spans="1:26" ht="13.8" thickBot="1" x14ac:dyDescent="0.3">
      <c r="B110" s="65"/>
      <c r="C110" s="65" t="s">
        <v>403</v>
      </c>
      <c r="D110" s="66"/>
      <c r="E110" s="65"/>
      <c r="F110" s="118"/>
      <c r="G110" s="65" t="s">
        <v>327</v>
      </c>
      <c r="H110" s="95"/>
      <c r="I110" s="70" t="s">
        <v>152</v>
      </c>
      <c r="J110" s="235">
        <f t="shared" si="7"/>
        <v>0</v>
      </c>
      <c r="K110" s="65" t="s">
        <v>14</v>
      </c>
      <c r="L110" s="67"/>
      <c r="M110" s="67"/>
    </row>
    <row r="111" spans="1:26" ht="13.8" thickBot="1" x14ac:dyDescent="0.3">
      <c r="B111" s="65"/>
      <c r="C111" s="65"/>
      <c r="D111" s="71"/>
      <c r="E111" s="65"/>
      <c r="F111" s="65"/>
      <c r="G111" s="65"/>
      <c r="H111" s="70"/>
      <c r="I111" s="70"/>
      <c r="J111" s="235"/>
      <c r="K111" s="65"/>
      <c r="L111" s="67"/>
      <c r="M111" s="67"/>
    </row>
    <row r="112" spans="1:26" ht="13.8" thickBot="1" x14ac:dyDescent="0.3">
      <c r="B112" s="65"/>
      <c r="C112" s="65" t="s">
        <v>563</v>
      </c>
      <c r="D112" s="71"/>
      <c r="E112" s="65"/>
      <c r="F112" s="118">
        <v>20</v>
      </c>
      <c r="G112" s="65" t="s">
        <v>1</v>
      </c>
      <c r="H112" s="99">
        <v>4</v>
      </c>
      <c r="I112" s="70" t="s">
        <v>6</v>
      </c>
      <c r="J112" s="235">
        <f t="shared" si="7"/>
        <v>80</v>
      </c>
      <c r="K112" s="65" t="s">
        <v>14</v>
      </c>
      <c r="L112" s="67"/>
      <c r="M112" s="67"/>
    </row>
    <row r="113" spans="1:26" ht="13.8" thickBot="1" x14ac:dyDescent="0.3">
      <c r="B113" s="65"/>
      <c r="C113" s="65" t="s">
        <v>405</v>
      </c>
      <c r="D113" s="71"/>
      <c r="E113" s="65"/>
      <c r="F113" s="118"/>
      <c r="G113" s="65" t="s">
        <v>1</v>
      </c>
      <c r="H113" s="99"/>
      <c r="I113" s="70" t="s">
        <v>6</v>
      </c>
      <c r="J113" s="235"/>
      <c r="K113" s="65" t="s">
        <v>14</v>
      </c>
      <c r="L113" s="67"/>
      <c r="M113" s="67"/>
    </row>
    <row r="114" spans="1:26" s="8" customFormat="1" x14ac:dyDescent="0.25">
      <c r="A114" s="427"/>
      <c r="B114" s="71"/>
      <c r="C114" s="71" t="s">
        <v>196</v>
      </c>
      <c r="D114" s="71"/>
      <c r="E114" s="71"/>
      <c r="F114" s="277"/>
      <c r="G114" s="71"/>
      <c r="H114" s="278"/>
      <c r="I114" s="279"/>
      <c r="J114" s="280">
        <f>SUM(J108:J113)</f>
        <v>20210</v>
      </c>
      <c r="K114" s="71" t="s">
        <v>14</v>
      </c>
      <c r="L114" s="71"/>
      <c r="M114" s="71"/>
      <c r="N114"/>
      <c r="O114"/>
      <c r="P114"/>
      <c r="Q114"/>
      <c r="R114"/>
      <c r="S114"/>
      <c r="T114"/>
      <c r="U114"/>
      <c r="Y114"/>
      <c r="Z114"/>
    </row>
    <row r="115" spans="1:26" x14ac:dyDescent="0.25">
      <c r="B115" s="65"/>
      <c r="C115" s="65"/>
      <c r="D115" s="71"/>
      <c r="E115" s="65"/>
      <c r="F115" s="68"/>
      <c r="G115" s="65"/>
      <c r="H115" s="70"/>
      <c r="I115" s="70"/>
      <c r="J115" s="67"/>
      <c r="K115" s="65"/>
      <c r="L115" s="67"/>
      <c r="M115" s="67"/>
      <c r="N115" s="8"/>
      <c r="O115" s="8"/>
      <c r="P115" s="8"/>
      <c r="Q115" s="8"/>
      <c r="R115" s="8"/>
      <c r="S115" s="8"/>
      <c r="T115" s="8"/>
      <c r="U115" s="8"/>
      <c r="Y115" s="8"/>
      <c r="Z115" s="8"/>
    </row>
    <row r="116" spans="1:26" ht="37.049999999999997" customHeight="1" x14ac:dyDescent="0.25">
      <c r="B116" s="535"/>
      <c r="C116" s="535"/>
      <c r="D116" s="536"/>
      <c r="E116" s="535"/>
      <c r="F116" s="535"/>
      <c r="G116" s="535"/>
      <c r="H116" s="537"/>
      <c r="I116" s="537"/>
      <c r="J116" s="534"/>
      <c r="K116" s="534"/>
      <c r="L116" s="534"/>
      <c r="M116" s="534"/>
    </row>
    <row r="117" spans="1:26" ht="15.6" x14ac:dyDescent="0.3">
      <c r="B117" s="120" t="s">
        <v>501</v>
      </c>
      <c r="C117" s="121"/>
      <c r="D117" s="121"/>
      <c r="E117" s="121"/>
      <c r="F117" s="960" t="s">
        <v>159</v>
      </c>
      <c r="G117" s="960"/>
      <c r="H117" s="960" t="s">
        <v>158</v>
      </c>
      <c r="I117" s="960"/>
      <c r="J117" s="960" t="s">
        <v>324</v>
      </c>
      <c r="K117" s="960"/>
      <c r="L117" s="123"/>
      <c r="M117" s="123"/>
    </row>
    <row r="118" spans="1:26" ht="13.8" thickBot="1" x14ac:dyDescent="0.3">
      <c r="B118" s="121"/>
      <c r="C118" s="121"/>
      <c r="D118" s="121"/>
      <c r="E118" s="121"/>
      <c r="F118" s="121"/>
      <c r="G118" s="121"/>
      <c r="H118" s="122"/>
      <c r="I118" s="122"/>
      <c r="J118" s="123"/>
      <c r="K118" s="123"/>
      <c r="L118" s="123"/>
      <c r="M118" s="123"/>
    </row>
    <row r="119" spans="1:26" ht="13.8" thickBot="1" x14ac:dyDescent="0.3">
      <c r="B119" s="121"/>
      <c r="C119" s="121" t="s">
        <v>276</v>
      </c>
      <c r="D119" s="123"/>
      <c r="E119" s="121"/>
      <c r="F119" s="118">
        <v>300</v>
      </c>
      <c r="G119" s="121" t="s">
        <v>21</v>
      </c>
      <c r="H119" s="99">
        <v>0.95</v>
      </c>
      <c r="I119" s="122" t="s">
        <v>6</v>
      </c>
      <c r="J119" s="234">
        <f>F119*H119</f>
        <v>285</v>
      </c>
      <c r="K119" s="121" t="s">
        <v>14</v>
      </c>
      <c r="L119" s="123"/>
      <c r="M119" s="123"/>
    </row>
    <row r="120" spans="1:26" ht="13.8" thickBot="1" x14ac:dyDescent="0.3">
      <c r="B120" s="121"/>
      <c r="C120" s="121" t="s">
        <v>502</v>
      </c>
      <c r="D120" s="123"/>
      <c r="E120" s="121"/>
      <c r="F120" s="118">
        <v>600</v>
      </c>
      <c r="G120" s="121" t="s">
        <v>55</v>
      </c>
      <c r="H120" s="99">
        <v>13</v>
      </c>
      <c r="I120" s="122" t="s">
        <v>56</v>
      </c>
      <c r="J120" s="234">
        <f t="shared" ref="J120:J122" si="8">F120*H120</f>
        <v>7800</v>
      </c>
      <c r="K120" s="121" t="s">
        <v>14</v>
      </c>
      <c r="L120" s="123"/>
      <c r="M120" s="123"/>
    </row>
    <row r="121" spans="1:26" ht="13.8" thickBot="1" x14ac:dyDescent="0.3">
      <c r="B121" s="121"/>
      <c r="C121" s="121" t="s">
        <v>280</v>
      </c>
      <c r="D121" s="121"/>
      <c r="E121" s="121"/>
      <c r="F121" s="96"/>
      <c r="G121" s="121" t="s">
        <v>21</v>
      </c>
      <c r="H121" s="99"/>
      <c r="I121" s="122" t="s">
        <v>6</v>
      </c>
      <c r="J121" s="234">
        <f t="shared" si="8"/>
        <v>0</v>
      </c>
      <c r="K121" s="121" t="s">
        <v>14</v>
      </c>
      <c r="L121" s="123"/>
      <c r="M121" s="123"/>
    </row>
    <row r="122" spans="1:26" ht="13.8" thickBot="1" x14ac:dyDescent="0.3">
      <c r="B122" s="121"/>
      <c r="C122" s="121" t="s">
        <v>280</v>
      </c>
      <c r="D122" s="121"/>
      <c r="E122" s="121"/>
      <c r="F122" s="96"/>
      <c r="G122" s="121" t="s">
        <v>21</v>
      </c>
      <c r="H122" s="98"/>
      <c r="I122" s="122" t="s">
        <v>6</v>
      </c>
      <c r="J122" s="234">
        <f t="shared" si="8"/>
        <v>0</v>
      </c>
      <c r="K122" s="121" t="s">
        <v>14</v>
      </c>
      <c r="L122" s="123"/>
      <c r="M122" s="123"/>
    </row>
    <row r="123" spans="1:26" s="8" customFormat="1" x14ac:dyDescent="0.25">
      <c r="A123" s="427"/>
      <c r="B123" s="270"/>
      <c r="C123" s="270" t="s">
        <v>196</v>
      </c>
      <c r="D123" s="270"/>
      <c r="E123" s="270"/>
      <c r="F123" s="274"/>
      <c r="G123" s="270"/>
      <c r="H123" s="275"/>
      <c r="I123" s="271"/>
      <c r="J123" s="276">
        <f>SUM(J119:J122)</f>
        <v>8085</v>
      </c>
      <c r="K123" s="270" t="s">
        <v>14</v>
      </c>
      <c r="L123" s="270"/>
      <c r="M123" s="270"/>
      <c r="N123"/>
      <c r="O123"/>
      <c r="P123"/>
      <c r="Q123"/>
      <c r="R123"/>
      <c r="S123"/>
      <c r="T123"/>
      <c r="U123"/>
      <c r="Y123"/>
      <c r="Z123"/>
    </row>
    <row r="124" spans="1:26" x14ac:dyDescent="0.25">
      <c r="B124" s="121"/>
      <c r="C124" s="121"/>
      <c r="D124" s="121"/>
      <c r="E124" s="121"/>
      <c r="F124" s="121"/>
      <c r="G124" s="121"/>
      <c r="H124" s="122"/>
      <c r="I124" s="122"/>
      <c r="J124" s="123"/>
      <c r="K124" s="123"/>
      <c r="L124" s="123"/>
      <c r="M124" s="123"/>
      <c r="N124" s="8"/>
      <c r="O124" s="8"/>
      <c r="P124" s="8"/>
      <c r="Q124" s="8"/>
      <c r="R124" s="8"/>
      <c r="S124" s="8"/>
      <c r="T124" s="8"/>
      <c r="U124" s="8"/>
      <c r="Y124" s="8"/>
      <c r="Z124" s="8"/>
    </row>
    <row r="125" spans="1:26" ht="33" customHeight="1" x14ac:dyDescent="0.25">
      <c r="B125" s="535"/>
      <c r="C125" s="535"/>
      <c r="D125" s="535"/>
      <c r="E125" s="535"/>
      <c r="F125" s="535"/>
      <c r="G125" s="535"/>
      <c r="H125" s="537"/>
      <c r="I125" s="537"/>
      <c r="J125" s="534"/>
      <c r="K125" s="534"/>
      <c r="L125" s="534"/>
      <c r="M125" s="534"/>
    </row>
    <row r="126" spans="1:26" ht="15.6" x14ac:dyDescent="0.3">
      <c r="B126" s="109" t="s">
        <v>503</v>
      </c>
      <c r="C126" s="72"/>
      <c r="D126" s="72"/>
      <c r="E126" s="72"/>
      <c r="F126" s="957" t="s">
        <v>159</v>
      </c>
      <c r="G126" s="957"/>
      <c r="H126" s="958" t="s">
        <v>158</v>
      </c>
      <c r="I126" s="958"/>
      <c r="J126" s="957" t="s">
        <v>324</v>
      </c>
      <c r="K126" s="957"/>
      <c r="L126" s="79"/>
      <c r="M126" s="79"/>
    </row>
    <row r="127" spans="1:26" ht="15.6" x14ac:dyDescent="0.3">
      <c r="B127" s="109"/>
      <c r="C127" s="72"/>
      <c r="D127" s="462" t="s">
        <v>364</v>
      </c>
      <c r="E127" s="72"/>
      <c r="F127" s="80"/>
      <c r="G127" s="80"/>
      <c r="H127" s="81"/>
      <c r="I127" s="81"/>
      <c r="J127" s="80"/>
      <c r="K127" s="80"/>
      <c r="L127" s="79"/>
      <c r="M127" s="79"/>
    </row>
    <row r="128" spans="1:26" ht="13.8" thickBot="1" x14ac:dyDescent="0.3">
      <c r="B128" s="214" t="s">
        <v>357</v>
      </c>
      <c r="C128" s="72"/>
      <c r="D128" s="72"/>
      <c r="E128" s="72"/>
      <c r="F128" s="74"/>
      <c r="G128" s="74"/>
      <c r="H128" s="73"/>
      <c r="I128" s="73"/>
      <c r="J128" s="79"/>
      <c r="K128" s="79"/>
      <c r="L128" s="79"/>
      <c r="M128" s="79"/>
    </row>
    <row r="129" spans="1:26" ht="13.8" thickBot="1" x14ac:dyDescent="0.3">
      <c r="B129" s="72"/>
      <c r="C129" s="72" t="s">
        <v>413</v>
      </c>
      <c r="D129" s="79"/>
      <c r="E129" s="72"/>
      <c r="F129" s="119">
        <v>3.3</v>
      </c>
      <c r="G129" s="74" t="s">
        <v>20</v>
      </c>
      <c r="H129" s="99">
        <v>16.8</v>
      </c>
      <c r="I129" s="73" t="s">
        <v>5</v>
      </c>
      <c r="J129" s="79">
        <f>F129*H129</f>
        <v>55.44</v>
      </c>
      <c r="K129" s="72" t="s">
        <v>14</v>
      </c>
      <c r="L129" s="79"/>
      <c r="M129" s="79"/>
    </row>
    <row r="130" spans="1:26" ht="13.8" thickBot="1" x14ac:dyDescent="0.3">
      <c r="B130" s="72"/>
      <c r="C130" s="72" t="s">
        <v>326</v>
      </c>
      <c r="D130" s="72"/>
      <c r="E130" s="72"/>
      <c r="F130" s="119"/>
      <c r="G130" s="74" t="s">
        <v>20</v>
      </c>
      <c r="H130" s="99"/>
      <c r="I130" s="73" t="s">
        <v>5</v>
      </c>
      <c r="J130" s="79">
        <f t="shared" ref="J130:J136" si="9">F130*H130</f>
        <v>0</v>
      </c>
      <c r="K130" s="72" t="s">
        <v>14</v>
      </c>
      <c r="L130" s="79"/>
      <c r="M130" s="79"/>
    </row>
    <row r="131" spans="1:26" ht="13.8" thickBot="1" x14ac:dyDescent="0.3">
      <c r="B131" s="72"/>
      <c r="C131" s="72" t="s">
        <v>326</v>
      </c>
      <c r="D131" s="72"/>
      <c r="E131" s="72"/>
      <c r="F131" s="119"/>
      <c r="G131" s="74" t="s">
        <v>20</v>
      </c>
      <c r="H131" s="99"/>
      <c r="I131" s="73" t="s">
        <v>5</v>
      </c>
      <c r="J131" s="79">
        <f t="shared" si="9"/>
        <v>0</v>
      </c>
      <c r="K131" s="72" t="s">
        <v>14</v>
      </c>
      <c r="L131" s="79"/>
      <c r="M131" s="79"/>
    </row>
    <row r="132" spans="1:26" x14ac:dyDescent="0.25">
      <c r="B132" s="72"/>
      <c r="C132" s="72"/>
      <c r="D132" s="72"/>
      <c r="E132" s="72"/>
      <c r="F132" s="212"/>
      <c r="G132" s="74"/>
      <c r="H132" s="213"/>
      <c r="I132" s="73"/>
      <c r="J132" s="79"/>
      <c r="K132" s="72"/>
      <c r="L132" s="79"/>
      <c r="M132" s="79"/>
    </row>
    <row r="133" spans="1:26" ht="13.8" thickBot="1" x14ac:dyDescent="0.3">
      <c r="B133" s="214" t="s">
        <v>358</v>
      </c>
      <c r="C133" s="72"/>
      <c r="D133" s="72"/>
      <c r="E133" s="72"/>
      <c r="F133" s="212"/>
      <c r="G133" s="74"/>
      <c r="H133" s="213"/>
      <c r="I133" s="73"/>
      <c r="J133" s="79"/>
      <c r="K133" s="72"/>
      <c r="L133" s="79"/>
      <c r="M133" s="79"/>
    </row>
    <row r="134" spans="1:26" ht="13.8" thickBot="1" x14ac:dyDescent="0.3">
      <c r="B134" s="72"/>
      <c r="C134" s="72" t="s">
        <v>326</v>
      </c>
      <c r="D134" s="72"/>
      <c r="E134" s="72"/>
      <c r="F134" s="119"/>
      <c r="G134" s="74"/>
      <c r="H134" s="119"/>
      <c r="I134" s="73"/>
      <c r="J134" s="79">
        <f t="shared" si="9"/>
        <v>0</v>
      </c>
      <c r="K134" s="72" t="s">
        <v>14</v>
      </c>
      <c r="L134" s="79"/>
      <c r="M134" s="79"/>
    </row>
    <row r="135" spans="1:26" ht="13.8" thickBot="1" x14ac:dyDescent="0.3">
      <c r="B135" s="72"/>
      <c r="C135" s="72" t="s">
        <v>326</v>
      </c>
      <c r="D135" s="72"/>
      <c r="E135" s="72"/>
      <c r="F135" s="119"/>
      <c r="G135" s="74"/>
      <c r="H135" s="119"/>
      <c r="I135" s="73"/>
      <c r="J135" s="79">
        <f t="shared" si="9"/>
        <v>0</v>
      </c>
      <c r="K135" s="72" t="s">
        <v>14</v>
      </c>
      <c r="L135" s="79"/>
      <c r="M135" s="79"/>
    </row>
    <row r="136" spans="1:26" ht="13.8" thickBot="1" x14ac:dyDescent="0.3">
      <c r="B136" s="72"/>
      <c r="C136" s="72" t="s">
        <v>326</v>
      </c>
      <c r="D136" s="72"/>
      <c r="E136" s="72"/>
      <c r="F136" s="119"/>
      <c r="G136" s="74"/>
      <c r="H136" s="119"/>
      <c r="I136" s="73"/>
      <c r="J136" s="79">
        <f t="shared" si="9"/>
        <v>0</v>
      </c>
      <c r="K136" s="72" t="s">
        <v>14</v>
      </c>
      <c r="L136" s="79"/>
      <c r="M136" s="79"/>
    </row>
    <row r="137" spans="1:26" s="8" customFormat="1" x14ac:dyDescent="0.25">
      <c r="A137" s="427"/>
      <c r="B137" s="241"/>
      <c r="C137" s="241" t="s">
        <v>196</v>
      </c>
      <c r="D137" s="241"/>
      <c r="E137" s="241"/>
      <c r="F137" s="273"/>
      <c r="G137" s="242"/>
      <c r="H137" s="273"/>
      <c r="I137" s="243"/>
      <c r="J137" s="241">
        <f>SUM(J129:J136)</f>
        <v>55.44</v>
      </c>
      <c r="K137" s="241" t="s">
        <v>14</v>
      </c>
      <c r="L137" s="241"/>
      <c r="M137" s="241"/>
      <c r="N137"/>
      <c r="O137"/>
      <c r="P137"/>
      <c r="Q137"/>
      <c r="R137"/>
      <c r="S137"/>
      <c r="T137"/>
      <c r="U137"/>
      <c r="Y137"/>
      <c r="Z137"/>
    </row>
    <row r="138" spans="1:26" x14ac:dyDescent="0.25">
      <c r="B138" s="72"/>
      <c r="C138" s="72"/>
      <c r="D138" s="72"/>
      <c r="E138" s="72"/>
      <c r="F138" s="74"/>
      <c r="G138" s="74"/>
      <c r="H138" s="73"/>
      <c r="I138" s="73"/>
      <c r="J138" s="79"/>
      <c r="K138" s="72"/>
      <c r="L138" s="79"/>
      <c r="M138" s="79"/>
      <c r="N138" s="8"/>
      <c r="O138" s="8"/>
      <c r="P138" s="8"/>
      <c r="Q138" s="8"/>
      <c r="R138" s="8"/>
      <c r="S138" s="8"/>
      <c r="T138" s="8"/>
      <c r="U138" s="8"/>
      <c r="Y138" s="8"/>
      <c r="Z138" s="8"/>
    </row>
    <row r="139" spans="1:26" s="5" customFormat="1" ht="30" customHeight="1" x14ac:dyDescent="0.25">
      <c r="A139" s="426"/>
      <c r="B139" s="535"/>
      <c r="C139" s="535"/>
      <c r="D139" s="535"/>
      <c r="E139" s="535"/>
      <c r="F139" s="539"/>
      <c r="G139" s="539"/>
      <c r="H139" s="537"/>
      <c r="I139" s="537"/>
      <c r="J139" s="534"/>
      <c r="K139" s="535"/>
      <c r="L139" s="534"/>
      <c r="M139" s="534"/>
      <c r="N139"/>
      <c r="O139"/>
      <c r="P139"/>
      <c r="Q139"/>
      <c r="R139"/>
      <c r="S139"/>
      <c r="T139"/>
      <c r="U139"/>
      <c r="Y139"/>
      <c r="Z139"/>
    </row>
    <row r="140" spans="1:26" ht="15.6" x14ac:dyDescent="0.3">
      <c r="B140" s="219" t="s">
        <v>414</v>
      </c>
      <c r="C140" s="220"/>
      <c r="D140" s="220"/>
      <c r="E140" s="220"/>
      <c r="F140" s="964" t="s">
        <v>159</v>
      </c>
      <c r="G140" s="964"/>
      <c r="H140" s="964" t="s">
        <v>158</v>
      </c>
      <c r="I140" s="964"/>
      <c r="J140" s="964" t="s">
        <v>324</v>
      </c>
      <c r="K140" s="964"/>
      <c r="L140" s="222"/>
      <c r="M140" s="222"/>
      <c r="N140" s="5"/>
      <c r="O140" s="5"/>
      <c r="P140" s="5"/>
      <c r="Q140" s="5"/>
      <c r="R140" s="5"/>
      <c r="S140" s="5"/>
      <c r="T140" s="5"/>
      <c r="U140" s="5"/>
      <c r="Y140" s="5"/>
      <c r="Z140" s="5"/>
    </row>
    <row r="141" spans="1:26" ht="13.8" thickBot="1" x14ac:dyDescent="0.3">
      <c r="B141" s="220"/>
      <c r="C141" s="220"/>
      <c r="D141" s="220"/>
      <c r="E141" s="220"/>
      <c r="F141" s="220"/>
      <c r="G141" s="220"/>
      <c r="H141" s="221"/>
      <c r="I141" s="221"/>
      <c r="J141" s="222"/>
      <c r="K141" s="222"/>
      <c r="L141" s="222"/>
      <c r="M141" s="222"/>
    </row>
    <row r="142" spans="1:26" ht="13.8" thickBot="1" x14ac:dyDescent="0.3">
      <c r="B142" s="220"/>
      <c r="C142" s="220" t="s">
        <v>294</v>
      </c>
      <c r="D142" s="222"/>
      <c r="E142" s="220"/>
      <c r="F142" s="96"/>
      <c r="G142" s="220" t="s">
        <v>0</v>
      </c>
      <c r="H142" s="99"/>
      <c r="I142" s="221" t="s">
        <v>14</v>
      </c>
      <c r="J142" s="223">
        <f t="shared" ref="J142:J144" si="10">F142*H142</f>
        <v>0</v>
      </c>
      <c r="K142" s="220" t="s">
        <v>14</v>
      </c>
      <c r="L142" s="222"/>
      <c r="M142" s="222"/>
    </row>
    <row r="143" spans="1:26" ht="13.8" thickBot="1" x14ac:dyDescent="0.3">
      <c r="B143" s="220"/>
      <c r="C143" s="220" t="s">
        <v>294</v>
      </c>
      <c r="D143" s="220"/>
      <c r="E143" s="220"/>
      <c r="F143" s="96"/>
      <c r="G143" s="220" t="s">
        <v>0</v>
      </c>
      <c r="H143" s="99"/>
      <c r="I143" s="221" t="s">
        <v>14</v>
      </c>
      <c r="J143" s="223">
        <f t="shared" si="10"/>
        <v>0</v>
      </c>
      <c r="K143" s="220" t="s">
        <v>14</v>
      </c>
      <c r="L143" s="222"/>
      <c r="M143" s="222"/>
    </row>
    <row r="144" spans="1:26" ht="13.8" thickBot="1" x14ac:dyDescent="0.3">
      <c r="B144" s="220"/>
      <c r="C144" s="220" t="s">
        <v>294</v>
      </c>
      <c r="D144" s="220"/>
      <c r="E144" s="220"/>
      <c r="F144" s="96"/>
      <c r="G144" s="220" t="s">
        <v>0</v>
      </c>
      <c r="H144" s="99"/>
      <c r="I144" s="221" t="s">
        <v>14</v>
      </c>
      <c r="J144" s="223">
        <f t="shared" si="10"/>
        <v>0</v>
      </c>
      <c r="K144" s="220" t="s">
        <v>14</v>
      </c>
      <c r="L144" s="222"/>
      <c r="M144" s="222"/>
    </row>
    <row r="145" spans="1:26" s="8" customFormat="1" x14ac:dyDescent="0.25">
      <c r="A145" s="427"/>
      <c r="B145" s="255"/>
      <c r="C145" s="255" t="s">
        <v>196</v>
      </c>
      <c r="D145" s="255"/>
      <c r="E145" s="255"/>
      <c r="F145" s="256"/>
      <c r="G145" s="255"/>
      <c r="H145" s="257"/>
      <c r="I145" s="258"/>
      <c r="J145" s="259">
        <f>SUM(J142:J144)</f>
        <v>0</v>
      </c>
      <c r="K145" s="255" t="s">
        <v>14</v>
      </c>
      <c r="L145" s="255"/>
      <c r="M145" s="255"/>
      <c r="N145"/>
      <c r="O145"/>
      <c r="P145"/>
      <c r="Q145"/>
      <c r="R145"/>
      <c r="S145"/>
      <c r="T145"/>
      <c r="U145"/>
      <c r="Y145"/>
      <c r="Z145"/>
    </row>
    <row r="146" spans="1:26" x14ac:dyDescent="0.25">
      <c r="B146" s="220"/>
      <c r="C146" s="220"/>
      <c r="D146" s="220"/>
      <c r="E146" s="220"/>
      <c r="F146" s="220"/>
      <c r="G146" s="220"/>
      <c r="H146" s="221"/>
      <c r="I146" s="221"/>
      <c r="J146" s="223"/>
      <c r="K146" s="220"/>
      <c r="L146" s="222"/>
      <c r="M146" s="222"/>
      <c r="N146" s="8"/>
      <c r="O146" s="8"/>
      <c r="P146" s="8"/>
      <c r="Q146" s="8"/>
      <c r="R146" s="8"/>
      <c r="S146" s="8"/>
      <c r="T146" s="8"/>
      <c r="U146" s="8"/>
      <c r="Y146" s="8"/>
      <c r="Z146" s="8"/>
    </row>
    <row r="147" spans="1:26" ht="33" customHeight="1" x14ac:dyDescent="0.25">
      <c r="B147" s="534"/>
      <c r="C147" s="534"/>
      <c r="D147" s="534"/>
      <c r="E147" s="534"/>
      <c r="F147" s="534"/>
      <c r="G147" s="534"/>
      <c r="H147" s="534"/>
      <c r="I147" s="534"/>
      <c r="J147" s="534"/>
      <c r="K147" s="534"/>
      <c r="L147" s="534"/>
      <c r="M147" s="534"/>
    </row>
    <row r="148" spans="1:26" ht="15.6" x14ac:dyDescent="0.3">
      <c r="B148" s="225" t="s">
        <v>415</v>
      </c>
      <c r="C148" s="226"/>
      <c r="D148" s="226"/>
      <c r="E148" s="227"/>
      <c r="F148" s="226" t="s">
        <v>159</v>
      </c>
      <c r="G148" s="228"/>
      <c r="H148" s="228" t="s">
        <v>158</v>
      </c>
      <c r="I148" s="226"/>
      <c r="J148" s="226" t="s">
        <v>324</v>
      </c>
      <c r="K148" s="229"/>
      <c r="L148" s="229"/>
      <c r="M148" s="229"/>
    </row>
    <row r="149" spans="1:26" ht="16.2" thickBot="1" x14ac:dyDescent="0.35">
      <c r="B149" s="225"/>
      <c r="C149" s="226"/>
      <c r="D149" s="226"/>
      <c r="E149" s="227"/>
      <c r="F149" s="226"/>
      <c r="G149" s="228"/>
      <c r="H149" s="228"/>
      <c r="I149" s="226"/>
      <c r="J149" s="226"/>
      <c r="K149" s="229"/>
      <c r="L149" s="229"/>
      <c r="M149" s="229"/>
    </row>
    <row r="150" spans="1:26" ht="13.8" thickBot="1" x14ac:dyDescent="0.3">
      <c r="B150" s="226"/>
      <c r="C150" s="226" t="s">
        <v>296</v>
      </c>
      <c r="D150" s="229"/>
      <c r="E150" s="230"/>
      <c r="F150" s="96"/>
      <c r="G150" s="231" t="s">
        <v>18</v>
      </c>
      <c r="H150" s="96"/>
      <c r="I150" s="232" t="s">
        <v>10</v>
      </c>
      <c r="J150" s="229">
        <f>H150*F150</f>
        <v>0</v>
      </c>
      <c r="K150" s="232" t="s">
        <v>14</v>
      </c>
      <c r="L150" s="229"/>
      <c r="M150" s="229"/>
    </row>
    <row r="151" spans="1:26" ht="13.8" thickBot="1" x14ac:dyDescent="0.3">
      <c r="B151" s="226"/>
      <c r="C151" s="226" t="s">
        <v>297</v>
      </c>
      <c r="D151" s="232">
        <f>F181/2</f>
        <v>59.75</v>
      </c>
      <c r="E151" s="226" t="s">
        <v>9</v>
      </c>
      <c r="F151" s="96">
        <f>+D151*8</f>
        <v>478</v>
      </c>
      <c r="G151" s="228" t="s">
        <v>20</v>
      </c>
      <c r="H151" s="96">
        <v>0.83</v>
      </c>
      <c r="I151" s="232" t="s">
        <v>5</v>
      </c>
      <c r="J151" s="229">
        <f>H151*F151</f>
        <v>396.74</v>
      </c>
      <c r="K151" s="232" t="s">
        <v>14</v>
      </c>
      <c r="L151" s="229"/>
      <c r="M151" s="229"/>
    </row>
    <row r="152" spans="1:26" ht="13.8" thickBot="1" x14ac:dyDescent="0.3">
      <c r="B152" s="226"/>
      <c r="C152" s="226" t="s">
        <v>298</v>
      </c>
      <c r="D152" s="232">
        <f>D151</f>
        <v>59.75</v>
      </c>
      <c r="E152" s="226" t="s">
        <v>9</v>
      </c>
      <c r="F152" s="96">
        <v>11.88</v>
      </c>
      <c r="G152" s="228" t="s">
        <v>21</v>
      </c>
      <c r="H152" s="96">
        <v>4</v>
      </c>
      <c r="I152" s="232" t="s">
        <v>6</v>
      </c>
      <c r="J152" s="229">
        <f t="shared" ref="J152:J156" si="11">H152*F152</f>
        <v>47.52</v>
      </c>
      <c r="K152" s="232" t="s">
        <v>14</v>
      </c>
      <c r="L152" s="229"/>
      <c r="M152" s="229"/>
    </row>
    <row r="153" spans="1:26" ht="13.8" thickBot="1" x14ac:dyDescent="0.3">
      <c r="B153" s="226"/>
      <c r="C153" s="226" t="s">
        <v>19</v>
      </c>
      <c r="D153" s="229"/>
      <c r="E153" s="232"/>
      <c r="F153" s="96">
        <v>200</v>
      </c>
      <c r="G153" s="228" t="s">
        <v>20</v>
      </c>
      <c r="H153" s="96">
        <v>1.53</v>
      </c>
      <c r="I153" s="232" t="s">
        <v>5</v>
      </c>
      <c r="J153" s="229">
        <f t="shared" si="11"/>
        <v>306</v>
      </c>
      <c r="K153" s="232" t="s">
        <v>14</v>
      </c>
      <c r="L153" s="229"/>
      <c r="M153" s="229"/>
    </row>
    <row r="154" spans="1:26" ht="13.8" thickBot="1" x14ac:dyDescent="0.3">
      <c r="B154" s="226"/>
      <c r="C154" s="226" t="s">
        <v>299</v>
      </c>
      <c r="D154" s="229"/>
      <c r="E154" s="232"/>
      <c r="F154" s="96">
        <v>1.48</v>
      </c>
      <c r="G154" s="228" t="s">
        <v>20</v>
      </c>
      <c r="H154" s="96">
        <v>1.6</v>
      </c>
      <c r="I154" s="232" t="s">
        <v>5</v>
      </c>
      <c r="J154" s="229">
        <f t="shared" si="11"/>
        <v>2.3679999999999999</v>
      </c>
      <c r="K154" s="232" t="s">
        <v>14</v>
      </c>
      <c r="L154" s="229"/>
      <c r="M154" s="229"/>
    </row>
    <row r="155" spans="1:26" ht="13.8" thickBot="1" x14ac:dyDescent="0.3">
      <c r="B155" s="226"/>
      <c r="C155" s="226" t="s">
        <v>416</v>
      </c>
      <c r="D155" s="229"/>
      <c r="E155" s="232"/>
      <c r="F155" s="96"/>
      <c r="G155" s="228"/>
      <c r="H155" s="96"/>
      <c r="I155" s="232"/>
      <c r="J155" s="229">
        <f t="shared" ref="J155" si="12">H155*F155</f>
        <v>0</v>
      </c>
      <c r="K155" s="232" t="s">
        <v>14</v>
      </c>
      <c r="L155" s="229"/>
      <c r="M155" s="229"/>
    </row>
    <row r="156" spans="1:26" ht="13.8" thickBot="1" x14ac:dyDescent="0.3">
      <c r="B156" s="229"/>
      <c r="C156" s="260" t="s">
        <v>416</v>
      </c>
      <c r="D156" s="229"/>
      <c r="E156" s="229"/>
      <c r="F156" s="96"/>
      <c r="G156" s="229"/>
      <c r="H156" s="96"/>
      <c r="I156" s="229"/>
      <c r="J156" s="229">
        <f t="shared" si="11"/>
        <v>0</v>
      </c>
      <c r="K156" s="232" t="s">
        <v>14</v>
      </c>
      <c r="L156" s="229"/>
      <c r="M156" s="229"/>
    </row>
    <row r="157" spans="1:26" s="8" customFormat="1" x14ac:dyDescent="0.25">
      <c r="A157" s="427"/>
      <c r="B157" s="260"/>
      <c r="C157" s="260" t="s">
        <v>196</v>
      </c>
      <c r="D157" s="260"/>
      <c r="E157" s="260"/>
      <c r="F157" s="261"/>
      <c r="G157" s="260"/>
      <c r="H157" s="261"/>
      <c r="I157" s="260"/>
      <c r="J157" s="260">
        <f>SUM(J150:J156)</f>
        <v>752.62800000000004</v>
      </c>
      <c r="K157" s="262" t="s">
        <v>14</v>
      </c>
      <c r="L157" s="260"/>
      <c r="M157" s="260"/>
      <c r="N157"/>
      <c r="O157"/>
      <c r="P157"/>
      <c r="Q157"/>
      <c r="R157"/>
      <c r="S157"/>
      <c r="T157"/>
      <c r="U157"/>
      <c r="Y157"/>
      <c r="Z157"/>
    </row>
    <row r="158" spans="1:26" x14ac:dyDescent="0.25">
      <c r="B158" s="229"/>
      <c r="C158" s="229"/>
      <c r="D158" s="229"/>
      <c r="E158" s="229"/>
      <c r="F158" s="229"/>
      <c r="G158" s="229"/>
      <c r="H158" s="229"/>
      <c r="I158" s="229"/>
      <c r="J158" s="229"/>
      <c r="K158" s="229"/>
      <c r="L158" s="229"/>
      <c r="M158" s="229"/>
      <c r="N158" s="8"/>
      <c r="O158" s="8"/>
      <c r="P158" s="8"/>
      <c r="Q158" s="8"/>
      <c r="R158" s="8"/>
      <c r="S158" s="8"/>
      <c r="T158" s="8"/>
      <c r="U158" s="8"/>
      <c r="Y158" s="8"/>
      <c r="Z158" s="8"/>
    </row>
    <row r="159" spans="1:26" ht="34.950000000000003" customHeight="1" x14ac:dyDescent="0.25">
      <c r="B159" s="534"/>
      <c r="C159" s="534"/>
      <c r="D159" s="534"/>
      <c r="E159" s="534"/>
      <c r="F159" s="534"/>
      <c r="G159" s="534"/>
      <c r="H159" s="534"/>
      <c r="I159" s="534"/>
      <c r="J159" s="534"/>
      <c r="K159" s="534"/>
      <c r="L159" s="534"/>
      <c r="M159" s="534"/>
    </row>
    <row r="160" spans="1:26" ht="22.05" customHeight="1" x14ac:dyDescent="0.3">
      <c r="B160" s="112" t="s">
        <v>417</v>
      </c>
      <c r="C160" s="101"/>
      <c r="D160" s="101"/>
      <c r="E160" s="101"/>
      <c r="F160" s="101"/>
      <c r="G160" s="101"/>
      <c r="H160" s="101"/>
      <c r="I160" s="101"/>
      <c r="J160" s="101"/>
      <c r="K160" s="101"/>
      <c r="L160" s="101"/>
      <c r="M160" s="101"/>
    </row>
    <row r="161" spans="2:13" ht="22.05" customHeight="1" x14ac:dyDescent="0.3">
      <c r="B161" s="112"/>
      <c r="C161" s="101"/>
      <c r="D161" s="101"/>
      <c r="E161" s="101"/>
      <c r="F161" s="101"/>
      <c r="G161" s="101"/>
      <c r="H161" s="101"/>
      <c r="I161" s="101"/>
      <c r="J161" s="101"/>
      <c r="K161" s="101"/>
      <c r="L161" s="101"/>
      <c r="M161" s="101"/>
    </row>
    <row r="162" spans="2:13" ht="49.95" customHeight="1" x14ac:dyDescent="0.25">
      <c r="B162" s="961" t="s">
        <v>302</v>
      </c>
      <c r="C162" s="961"/>
      <c r="D162" s="961"/>
      <c r="E162" s="961"/>
      <c r="F162" s="961"/>
      <c r="G162" s="961"/>
      <c r="H162" s="961"/>
      <c r="I162" s="961"/>
      <c r="J162" s="961"/>
      <c r="K162" s="961"/>
      <c r="L162" s="961"/>
      <c r="M162" s="961"/>
    </row>
    <row r="163" spans="2:13" ht="22.05" customHeight="1" x14ac:dyDescent="0.3">
      <c r="B163" s="112"/>
      <c r="C163" s="101"/>
      <c r="D163" s="101"/>
      <c r="E163" s="834"/>
      <c r="F163" s="834"/>
      <c r="G163" s="834"/>
      <c r="H163" s="835"/>
      <c r="I163" s="835"/>
      <c r="J163" s="834"/>
      <c r="K163" s="834"/>
      <c r="L163" s="835"/>
      <c r="M163" s="835"/>
    </row>
    <row r="164" spans="2:13" ht="22.05" customHeight="1" x14ac:dyDescent="0.3">
      <c r="B164" s="112"/>
      <c r="C164" s="101"/>
      <c r="D164" s="101"/>
      <c r="E164" s="962" t="s">
        <v>303</v>
      </c>
      <c r="F164" s="962"/>
      <c r="G164" s="962"/>
      <c r="H164" s="963" t="s">
        <v>158</v>
      </c>
      <c r="I164" s="963"/>
      <c r="J164" s="963" t="s">
        <v>304</v>
      </c>
      <c r="K164" s="963"/>
      <c r="L164" s="963" t="s">
        <v>158</v>
      </c>
      <c r="M164" s="963"/>
    </row>
    <row r="165" spans="2:13" ht="10.95" customHeight="1" thickBot="1" x14ac:dyDescent="0.3">
      <c r="B165" s="100"/>
      <c r="C165" s="101"/>
      <c r="D165" s="101"/>
      <c r="E165" s="101"/>
      <c r="F165" s="101"/>
      <c r="G165" s="101"/>
      <c r="H165" s="101"/>
      <c r="I165" s="101"/>
      <c r="J165" s="101"/>
      <c r="K165" s="101"/>
      <c r="L165" s="101"/>
      <c r="M165" s="101"/>
    </row>
    <row r="166" spans="2:13" ht="13.8" thickBot="1" x14ac:dyDescent="0.3">
      <c r="B166" s="101"/>
      <c r="C166" s="102" t="s">
        <v>307</v>
      </c>
      <c r="D166" s="101"/>
      <c r="E166" s="101"/>
      <c r="F166" s="115">
        <v>2.5</v>
      </c>
      <c r="G166" s="104" t="s">
        <v>22</v>
      </c>
      <c r="H166" s="117">
        <v>14.5</v>
      </c>
      <c r="I166" s="104" t="s">
        <v>11</v>
      </c>
      <c r="J166" s="116"/>
      <c r="K166" s="104" t="s">
        <v>22</v>
      </c>
      <c r="L166" s="117">
        <v>14.5</v>
      </c>
      <c r="M166" s="104" t="s">
        <v>11</v>
      </c>
    </row>
    <row r="167" spans="2:13" ht="13.8" thickBot="1" x14ac:dyDescent="0.3">
      <c r="B167" s="101"/>
      <c r="C167" s="102" t="s">
        <v>467</v>
      </c>
      <c r="D167" s="101"/>
      <c r="E167" s="101"/>
      <c r="F167" s="115">
        <v>2</v>
      </c>
      <c r="G167" s="104" t="s">
        <v>22</v>
      </c>
      <c r="H167" s="114">
        <f t="shared" ref="H167:H180" si="13">$H$166</f>
        <v>14.5</v>
      </c>
      <c r="I167" s="104" t="s">
        <v>11</v>
      </c>
      <c r="J167" s="116"/>
      <c r="K167" s="104" t="s">
        <v>22</v>
      </c>
      <c r="L167" s="114">
        <f t="shared" ref="L167:L180" si="14">$L$166</f>
        <v>14.5</v>
      </c>
      <c r="M167" s="104" t="s">
        <v>11</v>
      </c>
    </row>
    <row r="168" spans="2:13" ht="13.8" thickBot="1" x14ac:dyDescent="0.3">
      <c r="B168" s="101"/>
      <c r="C168" s="102" t="s">
        <v>323</v>
      </c>
      <c r="D168" s="101"/>
      <c r="E168" s="101"/>
      <c r="F168" s="115">
        <v>1</v>
      </c>
      <c r="G168" s="104" t="s">
        <v>22</v>
      </c>
      <c r="H168" s="114">
        <f t="shared" si="13"/>
        <v>14.5</v>
      </c>
      <c r="I168" s="104" t="s">
        <v>11</v>
      </c>
      <c r="J168" s="116"/>
      <c r="K168" s="104" t="s">
        <v>22</v>
      </c>
      <c r="L168" s="114">
        <f t="shared" si="14"/>
        <v>14.5</v>
      </c>
      <c r="M168" s="104" t="s">
        <v>11</v>
      </c>
    </row>
    <row r="169" spans="2:13" ht="13.8" thickBot="1" x14ac:dyDescent="0.3">
      <c r="B169" s="101"/>
      <c r="C169" s="102" t="s">
        <v>430</v>
      </c>
      <c r="D169" s="101"/>
      <c r="E169" s="101"/>
      <c r="F169" s="116">
        <v>2</v>
      </c>
      <c r="G169" s="104" t="s">
        <v>22</v>
      </c>
      <c r="H169" s="114">
        <f t="shared" si="13"/>
        <v>14.5</v>
      </c>
      <c r="I169" s="104" t="s">
        <v>11</v>
      </c>
      <c r="J169" s="116"/>
      <c r="K169" s="104" t="s">
        <v>22</v>
      </c>
      <c r="L169" s="114">
        <f t="shared" si="14"/>
        <v>14.5</v>
      </c>
      <c r="M169" s="104" t="s">
        <v>11</v>
      </c>
    </row>
    <row r="170" spans="2:13" ht="13.8" thickBot="1" x14ac:dyDescent="0.3">
      <c r="B170" s="101"/>
      <c r="C170" s="102" t="s">
        <v>505</v>
      </c>
      <c r="D170" s="101"/>
      <c r="E170" s="101"/>
      <c r="F170" s="116">
        <v>10</v>
      </c>
      <c r="G170" s="104" t="s">
        <v>22</v>
      </c>
      <c r="H170" s="114">
        <f t="shared" si="13"/>
        <v>14.5</v>
      </c>
      <c r="I170" s="104" t="s">
        <v>11</v>
      </c>
      <c r="J170" s="116"/>
      <c r="K170" s="104" t="s">
        <v>22</v>
      </c>
      <c r="L170" s="114">
        <f t="shared" si="14"/>
        <v>14.5</v>
      </c>
      <c r="M170" s="104" t="s">
        <v>11</v>
      </c>
    </row>
    <row r="171" spans="2:13" ht="13.8" thickBot="1" x14ac:dyDescent="0.3">
      <c r="B171" s="101"/>
      <c r="C171" s="102" t="s">
        <v>507</v>
      </c>
      <c r="D171" s="101"/>
      <c r="E171" s="101"/>
      <c r="F171" s="115">
        <v>15</v>
      </c>
      <c r="G171" s="104" t="s">
        <v>22</v>
      </c>
      <c r="H171" s="114">
        <f t="shared" si="13"/>
        <v>14.5</v>
      </c>
      <c r="I171" s="104" t="s">
        <v>11</v>
      </c>
      <c r="J171" s="116">
        <v>15</v>
      </c>
      <c r="K171" s="104" t="s">
        <v>22</v>
      </c>
      <c r="L171" s="114">
        <f t="shared" si="14"/>
        <v>14.5</v>
      </c>
      <c r="M171" s="104" t="s">
        <v>11</v>
      </c>
    </row>
    <row r="172" spans="2:13" ht="13.8" thickBot="1" x14ac:dyDescent="0.3">
      <c r="B172" s="101"/>
      <c r="C172" s="102" t="s">
        <v>421</v>
      </c>
      <c r="D172" s="101"/>
      <c r="E172" s="101"/>
      <c r="F172" s="115">
        <v>25</v>
      </c>
      <c r="G172" s="104" t="s">
        <v>22</v>
      </c>
      <c r="H172" s="114">
        <f t="shared" si="13"/>
        <v>14.5</v>
      </c>
      <c r="I172" s="104" t="s">
        <v>11</v>
      </c>
      <c r="J172" s="116">
        <v>25</v>
      </c>
      <c r="K172" s="104" t="s">
        <v>22</v>
      </c>
      <c r="L172" s="114">
        <f t="shared" si="14"/>
        <v>14.5</v>
      </c>
      <c r="M172" s="104" t="s">
        <v>11</v>
      </c>
    </row>
    <row r="173" spans="2:13" ht="13.8" thickBot="1" x14ac:dyDescent="0.3">
      <c r="B173" s="101"/>
      <c r="C173" s="102" t="s">
        <v>506</v>
      </c>
      <c r="D173" s="101"/>
      <c r="E173" s="101"/>
      <c r="F173" s="115">
        <v>6</v>
      </c>
      <c r="G173" s="104" t="s">
        <v>22</v>
      </c>
      <c r="H173" s="114">
        <f t="shared" si="13"/>
        <v>14.5</v>
      </c>
      <c r="I173" s="104" t="s">
        <v>11</v>
      </c>
      <c r="J173" s="116"/>
      <c r="K173" s="104" t="s">
        <v>22</v>
      </c>
      <c r="L173" s="114">
        <f t="shared" si="14"/>
        <v>14.5</v>
      </c>
      <c r="M173" s="104" t="s">
        <v>11</v>
      </c>
    </row>
    <row r="174" spans="2:13" ht="13.8" thickBot="1" x14ac:dyDescent="0.3">
      <c r="B174" s="101"/>
      <c r="C174" s="102" t="s">
        <v>564</v>
      </c>
      <c r="D174" s="101"/>
      <c r="E174" s="101"/>
      <c r="F174" s="115">
        <v>20</v>
      </c>
      <c r="G174" s="104" t="s">
        <v>22</v>
      </c>
      <c r="H174" s="114">
        <f t="shared" si="13"/>
        <v>14.5</v>
      </c>
      <c r="I174" s="104" t="s">
        <v>11</v>
      </c>
      <c r="J174" s="116">
        <v>40</v>
      </c>
      <c r="K174" s="104" t="s">
        <v>22</v>
      </c>
      <c r="L174" s="114">
        <f t="shared" si="14"/>
        <v>14.5</v>
      </c>
      <c r="M174" s="104" t="s">
        <v>11</v>
      </c>
    </row>
    <row r="175" spans="2:13" ht="13.8" thickBot="1" x14ac:dyDescent="0.3">
      <c r="B175" s="101"/>
      <c r="C175" s="102" t="s">
        <v>317</v>
      </c>
      <c r="D175" s="101"/>
      <c r="E175" s="101"/>
      <c r="F175" s="115">
        <v>4</v>
      </c>
      <c r="G175" s="104" t="s">
        <v>22</v>
      </c>
      <c r="H175" s="114">
        <f t="shared" si="13"/>
        <v>14.5</v>
      </c>
      <c r="I175" s="104" t="s">
        <v>11</v>
      </c>
      <c r="J175" s="116"/>
      <c r="K175" s="104" t="s">
        <v>22</v>
      </c>
      <c r="L175" s="114">
        <f t="shared" si="14"/>
        <v>14.5</v>
      </c>
      <c r="M175" s="104" t="s">
        <v>11</v>
      </c>
    </row>
    <row r="176" spans="2:13" ht="13.8" thickBot="1" x14ac:dyDescent="0.3">
      <c r="B176" s="101"/>
      <c r="C176" s="102" t="s">
        <v>489</v>
      </c>
      <c r="D176" s="101"/>
      <c r="E176" s="101"/>
      <c r="F176" s="115">
        <v>20</v>
      </c>
      <c r="G176" s="104" t="s">
        <v>22</v>
      </c>
      <c r="H176" s="114">
        <f t="shared" si="13"/>
        <v>14.5</v>
      </c>
      <c r="I176" s="104" t="s">
        <v>11</v>
      </c>
      <c r="J176" s="116"/>
      <c r="K176" s="104" t="s">
        <v>22</v>
      </c>
      <c r="L176" s="114">
        <f t="shared" si="14"/>
        <v>14.5</v>
      </c>
      <c r="M176" s="104" t="s">
        <v>11</v>
      </c>
    </row>
    <row r="177" spans="1:26" ht="13.8" thickBot="1" x14ac:dyDescent="0.3">
      <c r="B177" s="101"/>
      <c r="C177" s="102" t="s">
        <v>429</v>
      </c>
      <c r="D177" s="101"/>
      <c r="E177" s="101"/>
      <c r="F177" s="116">
        <v>12</v>
      </c>
      <c r="G177" s="104" t="s">
        <v>22</v>
      </c>
      <c r="H177" s="114">
        <f t="shared" si="13"/>
        <v>14.5</v>
      </c>
      <c r="I177" s="104" t="s">
        <v>11</v>
      </c>
      <c r="J177" s="116"/>
      <c r="K177" s="104" t="s">
        <v>22</v>
      </c>
      <c r="L177" s="114">
        <f t="shared" si="14"/>
        <v>14.5</v>
      </c>
      <c r="M177" s="104" t="s">
        <v>11</v>
      </c>
    </row>
    <row r="178" spans="1:26" ht="13.8" thickBot="1" x14ac:dyDescent="0.3">
      <c r="B178" s="101"/>
      <c r="C178" s="102" t="s">
        <v>431</v>
      </c>
      <c r="D178" s="101"/>
      <c r="E178" s="101"/>
      <c r="F178" s="116"/>
      <c r="G178" s="104" t="s">
        <v>22</v>
      </c>
      <c r="H178" s="114">
        <f t="shared" si="13"/>
        <v>14.5</v>
      </c>
      <c r="I178" s="104" t="s">
        <v>11</v>
      </c>
      <c r="J178" s="97"/>
      <c r="K178" s="104" t="s">
        <v>22</v>
      </c>
      <c r="L178" s="114">
        <f t="shared" si="14"/>
        <v>14.5</v>
      </c>
      <c r="M178" s="104" t="s">
        <v>11</v>
      </c>
    </row>
    <row r="179" spans="1:26" ht="13.8" thickBot="1" x14ac:dyDescent="0.3">
      <c r="B179" s="101"/>
      <c r="C179" s="102" t="s">
        <v>431</v>
      </c>
      <c r="D179" s="101"/>
      <c r="E179" s="101"/>
      <c r="F179" s="116"/>
      <c r="G179" s="104" t="s">
        <v>22</v>
      </c>
      <c r="H179" s="114">
        <f t="shared" si="13"/>
        <v>14.5</v>
      </c>
      <c r="I179" s="104" t="s">
        <v>11</v>
      </c>
      <c r="J179" s="97"/>
      <c r="K179" s="104" t="s">
        <v>22</v>
      </c>
      <c r="L179" s="114">
        <f t="shared" si="14"/>
        <v>14.5</v>
      </c>
      <c r="M179" s="104" t="s">
        <v>11</v>
      </c>
    </row>
    <row r="180" spans="1:26" ht="13.8" thickBot="1" x14ac:dyDescent="0.3">
      <c r="B180" s="101"/>
      <c r="C180" s="102" t="s">
        <v>431</v>
      </c>
      <c r="D180" s="103"/>
      <c r="E180" s="103"/>
      <c r="F180" s="97"/>
      <c r="G180" s="104" t="s">
        <v>22</v>
      </c>
      <c r="H180" s="114">
        <f t="shared" si="13"/>
        <v>14.5</v>
      </c>
      <c r="I180" s="104" t="s">
        <v>11</v>
      </c>
      <c r="J180" s="97"/>
      <c r="K180" s="104" t="s">
        <v>22</v>
      </c>
      <c r="L180" s="114">
        <f t="shared" si="14"/>
        <v>14.5</v>
      </c>
      <c r="M180" s="104" t="s">
        <v>11</v>
      </c>
    </row>
    <row r="181" spans="1:26" s="8" customFormat="1" x14ac:dyDescent="0.25">
      <c r="A181" s="427"/>
      <c r="B181" s="264"/>
      <c r="C181" s="265" t="s">
        <v>196</v>
      </c>
      <c r="D181" s="266"/>
      <c r="E181" s="266"/>
      <c r="F181" s="267">
        <f>SUM(F166:F180)</f>
        <v>119.5</v>
      </c>
      <c r="G181" s="264" t="s">
        <v>22</v>
      </c>
      <c r="H181" s="268">
        <f>F181*H166</f>
        <v>1732.75</v>
      </c>
      <c r="I181" s="264" t="s">
        <v>14</v>
      </c>
      <c r="J181" s="269">
        <f>SUM(J166:J180)</f>
        <v>80</v>
      </c>
      <c r="K181" s="264" t="s">
        <v>22</v>
      </c>
      <c r="L181" s="268">
        <f>J181*L166</f>
        <v>1160</v>
      </c>
      <c r="M181" s="264" t="s">
        <v>14</v>
      </c>
      <c r="N181"/>
      <c r="O181"/>
      <c r="P181"/>
      <c r="Q181"/>
      <c r="R181"/>
      <c r="S181"/>
      <c r="T181"/>
      <c r="U181"/>
      <c r="Y181"/>
      <c r="Z181"/>
    </row>
    <row r="182" spans="1:26" ht="57" customHeight="1" thickBot="1" x14ac:dyDescent="0.3">
      <c r="B182" s="534"/>
      <c r="C182" s="534"/>
      <c r="D182" s="534"/>
      <c r="E182" s="534"/>
      <c r="F182" s="534"/>
      <c r="G182" s="534"/>
      <c r="H182" s="534"/>
      <c r="I182" s="534"/>
      <c r="J182" s="534"/>
      <c r="K182" s="534"/>
      <c r="L182" s="534"/>
      <c r="M182" s="534"/>
      <c r="N182" s="8"/>
      <c r="O182" s="8"/>
      <c r="P182" s="8"/>
      <c r="Q182" s="8"/>
      <c r="R182" s="8"/>
      <c r="S182" s="8"/>
      <c r="T182" s="8"/>
      <c r="U182" s="8"/>
      <c r="Y182" s="8"/>
      <c r="Z182" s="8"/>
    </row>
    <row r="183" spans="1:26" ht="30" customHeight="1" thickBot="1" x14ac:dyDescent="0.45">
      <c r="B183" s="977" t="s">
        <v>536</v>
      </c>
      <c r="C183" s="978"/>
      <c r="D183" s="978"/>
      <c r="E183" s="979"/>
      <c r="F183" s="534"/>
      <c r="G183" s="534"/>
      <c r="H183" s="534"/>
      <c r="I183" s="534"/>
      <c r="J183" s="983" t="s">
        <v>271</v>
      </c>
      <c r="K183" s="983"/>
      <c r="L183" s="983"/>
      <c r="M183" s="534"/>
    </row>
    <row r="184" spans="1:26" ht="30" customHeight="1" x14ac:dyDescent="0.4">
      <c r="B184" s="538"/>
      <c r="C184" s="538"/>
      <c r="D184" s="538"/>
      <c r="E184" s="538"/>
      <c r="F184" s="534"/>
      <c r="G184" s="534"/>
      <c r="H184" s="534"/>
      <c r="I184" s="534"/>
      <c r="J184" s="564"/>
      <c r="K184" s="564"/>
      <c r="L184" s="564"/>
      <c r="M184" s="534"/>
    </row>
    <row r="185" spans="1:26" ht="15.6" x14ac:dyDescent="0.3">
      <c r="B185" s="113" t="s">
        <v>565</v>
      </c>
      <c r="C185" s="65"/>
      <c r="D185" s="65"/>
      <c r="E185" s="65"/>
      <c r="F185" s="959" t="s">
        <v>159</v>
      </c>
      <c r="G185" s="959"/>
      <c r="H185" s="959" t="s">
        <v>158</v>
      </c>
      <c r="I185" s="959"/>
      <c r="J185" s="959" t="s">
        <v>324</v>
      </c>
      <c r="K185" s="959"/>
      <c r="L185" s="143" t="s">
        <v>274</v>
      </c>
      <c r="M185" s="67"/>
    </row>
    <row r="186" spans="1:26" ht="13.8" thickBot="1" x14ac:dyDescent="0.3">
      <c r="B186" s="69"/>
      <c r="C186" s="65"/>
      <c r="D186" s="65"/>
      <c r="E186" s="65"/>
      <c r="F186" s="65"/>
      <c r="G186" s="65"/>
      <c r="H186" s="65"/>
      <c r="I186" s="65"/>
      <c r="J186" s="67"/>
      <c r="K186" s="67"/>
      <c r="L186" s="67"/>
      <c r="M186" s="67"/>
    </row>
    <row r="187" spans="1:26" ht="13.8" thickBot="1" x14ac:dyDescent="0.3">
      <c r="B187" s="65"/>
      <c r="C187" s="66" t="s">
        <v>544</v>
      </c>
      <c r="D187" s="67"/>
      <c r="E187" s="65"/>
      <c r="F187" s="118">
        <v>250</v>
      </c>
      <c r="G187" s="65" t="s">
        <v>327</v>
      </c>
      <c r="H187" s="95">
        <v>3.5</v>
      </c>
      <c r="I187" s="70" t="s">
        <v>152</v>
      </c>
      <c r="J187" s="235">
        <f>F187*H187</f>
        <v>875</v>
      </c>
      <c r="K187" s="65" t="s">
        <v>14</v>
      </c>
      <c r="L187" s="65" t="s">
        <v>500</v>
      </c>
      <c r="M187" s="67"/>
    </row>
    <row r="188" spans="1:26" ht="13.8" thickBot="1" x14ac:dyDescent="0.3">
      <c r="B188" s="65"/>
      <c r="C188" s="65" t="s">
        <v>403</v>
      </c>
      <c r="D188" s="66"/>
      <c r="E188" s="65"/>
      <c r="F188" s="118"/>
      <c r="G188" s="65" t="s">
        <v>327</v>
      </c>
      <c r="H188" s="95"/>
      <c r="I188" s="70" t="s">
        <v>152</v>
      </c>
      <c r="J188" s="235">
        <f t="shared" ref="J188:J189" si="15">F188*H188</f>
        <v>0</v>
      </c>
      <c r="K188" s="65" t="s">
        <v>14</v>
      </c>
      <c r="L188" s="67"/>
      <c r="M188" s="67"/>
    </row>
    <row r="189" spans="1:26" ht="13.8" thickBot="1" x14ac:dyDescent="0.3">
      <c r="B189" s="65"/>
      <c r="C189" s="67" t="s">
        <v>403</v>
      </c>
      <c r="D189" s="66"/>
      <c r="E189" s="65"/>
      <c r="F189" s="118"/>
      <c r="G189" s="65" t="s">
        <v>327</v>
      </c>
      <c r="H189" s="95"/>
      <c r="I189" s="70" t="s">
        <v>152</v>
      </c>
      <c r="J189" s="235">
        <f t="shared" si="15"/>
        <v>0</v>
      </c>
      <c r="K189" s="65" t="s">
        <v>14</v>
      </c>
      <c r="L189" s="67"/>
      <c r="M189" s="67"/>
    </row>
    <row r="190" spans="1:26" ht="13.8" thickBot="1" x14ac:dyDescent="0.3">
      <c r="B190" s="65"/>
      <c r="C190" s="65"/>
      <c r="D190" s="71"/>
      <c r="E190" s="65"/>
      <c r="F190" s="65"/>
      <c r="G190" s="65"/>
      <c r="H190" s="70"/>
      <c r="I190" s="70"/>
      <c r="J190" s="235"/>
      <c r="K190" s="65"/>
      <c r="L190" s="67"/>
      <c r="M190" s="67"/>
    </row>
    <row r="191" spans="1:26" ht="13.8" thickBot="1" x14ac:dyDescent="0.3">
      <c r="B191" s="65"/>
      <c r="C191" s="65" t="s">
        <v>566</v>
      </c>
      <c r="D191" s="71"/>
      <c r="E191" s="65"/>
      <c r="F191" s="118">
        <v>10</v>
      </c>
      <c r="G191" s="65" t="s">
        <v>1</v>
      </c>
      <c r="H191" s="99">
        <v>4</v>
      </c>
      <c r="I191" s="70" t="s">
        <v>6</v>
      </c>
      <c r="J191" s="235">
        <f t="shared" ref="J191" si="16">F191*H191</f>
        <v>40</v>
      </c>
      <c r="K191" s="65" t="s">
        <v>14</v>
      </c>
      <c r="L191" s="67"/>
      <c r="M191" s="67"/>
    </row>
    <row r="192" spans="1:26" ht="13.8" thickBot="1" x14ac:dyDescent="0.3">
      <c r="B192" s="65"/>
      <c r="C192" s="65" t="s">
        <v>405</v>
      </c>
      <c r="D192" s="71"/>
      <c r="E192" s="65"/>
      <c r="F192" s="118"/>
      <c r="G192" s="65" t="s">
        <v>1</v>
      </c>
      <c r="H192" s="99"/>
      <c r="I192" s="70" t="s">
        <v>6</v>
      </c>
      <c r="J192" s="235"/>
      <c r="K192" s="65" t="s">
        <v>14</v>
      </c>
      <c r="L192" s="67"/>
      <c r="M192" s="67"/>
    </row>
    <row r="193" spans="1:26" s="8" customFormat="1" x14ac:dyDescent="0.25">
      <c r="A193" s="427"/>
      <c r="B193" s="71"/>
      <c r="C193" s="71" t="s">
        <v>196</v>
      </c>
      <c r="D193" s="71"/>
      <c r="E193" s="71"/>
      <c r="F193" s="277"/>
      <c r="G193" s="71"/>
      <c r="H193" s="278"/>
      <c r="I193" s="279"/>
      <c r="J193" s="280">
        <f>SUM(J187:J192)</f>
        <v>915</v>
      </c>
      <c r="K193" s="71" t="s">
        <v>14</v>
      </c>
      <c r="L193" s="71"/>
      <c r="M193" s="71"/>
      <c r="N193"/>
      <c r="O193"/>
      <c r="P193"/>
      <c r="Q193"/>
      <c r="R193"/>
      <c r="S193"/>
      <c r="T193"/>
      <c r="U193"/>
      <c r="Y193"/>
      <c r="Z193"/>
    </row>
    <row r="194" spans="1:26" x14ac:dyDescent="0.25">
      <c r="B194" s="65"/>
      <c r="C194" s="65"/>
      <c r="D194" s="71"/>
      <c r="E194" s="65"/>
      <c r="F194" s="68"/>
      <c r="G194" s="65"/>
      <c r="H194" s="70"/>
      <c r="I194" s="70"/>
      <c r="J194" s="67"/>
      <c r="K194" s="65"/>
      <c r="L194" s="67"/>
      <c r="M194" s="67"/>
      <c r="N194" s="8"/>
      <c r="O194" s="8"/>
      <c r="P194" s="8"/>
      <c r="Q194" s="8"/>
      <c r="R194" s="8"/>
      <c r="S194" s="8"/>
      <c r="T194" s="8"/>
      <c r="U194" s="8"/>
      <c r="Y194" s="8"/>
      <c r="Z194" s="8"/>
    </row>
    <row r="195" spans="1:26" ht="37.049999999999997" customHeight="1" x14ac:dyDescent="0.25">
      <c r="B195" s="535"/>
      <c r="C195" s="535"/>
      <c r="D195" s="536"/>
      <c r="E195" s="535"/>
      <c r="F195" s="535"/>
      <c r="G195" s="535"/>
      <c r="H195" s="537"/>
      <c r="I195" s="537"/>
      <c r="J195" s="534"/>
      <c r="K195" s="534"/>
      <c r="L195" s="534"/>
      <c r="M195" s="534"/>
    </row>
    <row r="196" spans="1:26" ht="15.6" x14ac:dyDescent="0.3">
      <c r="B196" s="120" t="s">
        <v>546</v>
      </c>
      <c r="C196" s="121"/>
      <c r="D196" s="121"/>
      <c r="E196" s="121"/>
      <c r="F196" s="960" t="s">
        <v>159</v>
      </c>
      <c r="G196" s="960"/>
      <c r="H196" s="960" t="s">
        <v>158</v>
      </c>
      <c r="I196" s="960"/>
      <c r="J196" s="960" t="s">
        <v>324</v>
      </c>
      <c r="K196" s="960"/>
      <c r="L196" s="123"/>
      <c r="M196" s="123"/>
    </row>
    <row r="197" spans="1:26" ht="13.8" thickBot="1" x14ac:dyDescent="0.3">
      <c r="B197" s="121"/>
      <c r="C197" s="121"/>
      <c r="D197" s="121"/>
      <c r="E197" s="121"/>
      <c r="F197" s="121"/>
      <c r="G197" s="121"/>
      <c r="H197" s="122"/>
      <c r="I197" s="122"/>
      <c r="J197" s="123"/>
      <c r="K197" s="123"/>
      <c r="L197" s="123"/>
      <c r="M197" s="123"/>
    </row>
    <row r="198" spans="1:26" ht="13.8" thickBot="1" x14ac:dyDescent="0.3">
      <c r="B198" s="121"/>
      <c r="C198" s="121" t="s">
        <v>509</v>
      </c>
      <c r="D198" s="123"/>
      <c r="E198" s="121"/>
      <c r="F198" s="118">
        <v>100</v>
      </c>
      <c r="G198" s="121" t="s">
        <v>21</v>
      </c>
      <c r="H198" s="99">
        <v>1.53</v>
      </c>
      <c r="I198" s="122" t="s">
        <v>6</v>
      </c>
      <c r="J198" s="234">
        <f>F198*H198</f>
        <v>153</v>
      </c>
      <c r="K198" s="121" t="s">
        <v>14</v>
      </c>
      <c r="L198" s="123"/>
      <c r="M198" s="123"/>
    </row>
    <row r="199" spans="1:26" ht="13.8" thickBot="1" x14ac:dyDescent="0.3">
      <c r="B199" s="121"/>
      <c r="C199" s="121" t="s">
        <v>280</v>
      </c>
      <c r="D199" s="123"/>
      <c r="E199" s="121"/>
      <c r="F199" s="118"/>
      <c r="G199" s="121" t="s">
        <v>21</v>
      </c>
      <c r="H199" s="99"/>
      <c r="I199" s="122" t="s">
        <v>6</v>
      </c>
      <c r="J199" s="234">
        <f t="shared" ref="J199:J201" si="17">F199*H199</f>
        <v>0</v>
      </c>
      <c r="K199" s="121" t="s">
        <v>14</v>
      </c>
      <c r="L199" s="123"/>
      <c r="M199" s="123"/>
    </row>
    <row r="200" spans="1:26" ht="13.8" thickBot="1" x14ac:dyDescent="0.3">
      <c r="B200" s="121"/>
      <c r="C200" s="121" t="s">
        <v>280</v>
      </c>
      <c r="D200" s="121"/>
      <c r="E200" s="121"/>
      <c r="F200" s="96"/>
      <c r="G200" s="121" t="s">
        <v>21</v>
      </c>
      <c r="H200" s="99"/>
      <c r="I200" s="122" t="s">
        <v>6</v>
      </c>
      <c r="J200" s="234">
        <f t="shared" si="17"/>
        <v>0</v>
      </c>
      <c r="K200" s="121" t="s">
        <v>14</v>
      </c>
      <c r="L200" s="123"/>
      <c r="M200" s="123"/>
    </row>
    <row r="201" spans="1:26" ht="13.8" thickBot="1" x14ac:dyDescent="0.3">
      <c r="B201" s="121"/>
      <c r="C201" s="121" t="s">
        <v>280</v>
      </c>
      <c r="D201" s="121"/>
      <c r="E201" s="121"/>
      <c r="F201" s="96"/>
      <c r="G201" s="121" t="s">
        <v>21</v>
      </c>
      <c r="H201" s="98"/>
      <c r="I201" s="122" t="s">
        <v>6</v>
      </c>
      <c r="J201" s="234">
        <f t="shared" si="17"/>
        <v>0</v>
      </c>
      <c r="K201" s="121" t="s">
        <v>14</v>
      </c>
      <c r="L201" s="123"/>
      <c r="M201" s="123"/>
    </row>
    <row r="202" spans="1:26" s="8" customFormat="1" x14ac:dyDescent="0.25">
      <c r="A202" s="427"/>
      <c r="B202" s="270"/>
      <c r="C202" s="270" t="s">
        <v>196</v>
      </c>
      <c r="D202" s="270"/>
      <c r="E202" s="270"/>
      <c r="F202" s="274"/>
      <c r="G202" s="270"/>
      <c r="H202" s="275"/>
      <c r="I202" s="271"/>
      <c r="J202" s="276">
        <f>SUM(J198:J201)</f>
        <v>153</v>
      </c>
      <c r="K202" s="270" t="s">
        <v>14</v>
      </c>
      <c r="L202" s="270"/>
      <c r="M202" s="270"/>
      <c r="N202"/>
      <c r="O202"/>
      <c r="P202"/>
      <c r="Q202"/>
      <c r="R202"/>
      <c r="S202"/>
      <c r="T202"/>
      <c r="U202"/>
      <c r="Y202"/>
      <c r="Z202"/>
    </row>
    <row r="203" spans="1:26" x14ac:dyDescent="0.25">
      <c r="B203" s="121"/>
      <c r="C203" s="121"/>
      <c r="D203" s="121"/>
      <c r="E203" s="121"/>
      <c r="F203" s="121"/>
      <c r="G203" s="121"/>
      <c r="H203" s="122"/>
      <c r="I203" s="122"/>
      <c r="J203" s="123"/>
      <c r="K203" s="123"/>
      <c r="L203" s="123"/>
      <c r="M203" s="123"/>
      <c r="N203" s="8"/>
      <c r="O203" s="8"/>
      <c r="P203" s="8"/>
      <c r="Q203" s="8"/>
      <c r="R203" s="8"/>
      <c r="S203" s="8"/>
      <c r="T203" s="8"/>
      <c r="U203" s="8"/>
      <c r="Y203" s="8"/>
      <c r="Z203" s="8"/>
    </row>
    <row r="204" spans="1:26" ht="37.950000000000003" customHeight="1" x14ac:dyDescent="0.25">
      <c r="B204" s="534"/>
      <c r="C204" s="534"/>
      <c r="D204" s="534"/>
      <c r="E204" s="534"/>
      <c r="F204" s="534"/>
      <c r="G204" s="534"/>
      <c r="H204" s="534"/>
      <c r="I204" s="534"/>
      <c r="J204" s="534"/>
      <c r="K204" s="534"/>
      <c r="L204" s="534"/>
      <c r="M204" s="534"/>
    </row>
    <row r="205" spans="1:26" ht="15.6" x14ac:dyDescent="0.3">
      <c r="B205" s="109" t="s">
        <v>548</v>
      </c>
      <c r="C205" s="72"/>
      <c r="D205" s="72"/>
      <c r="E205" s="72"/>
      <c r="F205" s="957" t="s">
        <v>159</v>
      </c>
      <c r="G205" s="957"/>
      <c r="H205" s="958" t="s">
        <v>158</v>
      </c>
      <c r="I205" s="958"/>
      <c r="J205" s="957" t="s">
        <v>324</v>
      </c>
      <c r="K205" s="957"/>
      <c r="L205" s="79"/>
      <c r="M205" s="79"/>
    </row>
    <row r="206" spans="1:26" ht="15.6" x14ac:dyDescent="0.3">
      <c r="B206" s="109"/>
      <c r="C206" s="72"/>
      <c r="D206" s="462" t="s">
        <v>364</v>
      </c>
      <c r="E206" s="72"/>
      <c r="F206" s="128"/>
      <c r="G206" s="128"/>
      <c r="H206" s="127"/>
      <c r="I206" s="127"/>
      <c r="J206" s="128"/>
      <c r="K206" s="128"/>
      <c r="L206" s="79"/>
      <c r="M206" s="79"/>
    </row>
    <row r="207" spans="1:26" ht="13.8" thickBot="1" x14ac:dyDescent="0.3">
      <c r="B207" s="214" t="s">
        <v>357</v>
      </c>
      <c r="C207" s="72"/>
      <c r="D207" s="72"/>
      <c r="E207" s="72"/>
      <c r="F207" s="74"/>
      <c r="G207" s="74"/>
      <c r="H207" s="73"/>
      <c r="I207" s="73"/>
      <c r="J207" s="79"/>
      <c r="K207" s="79"/>
      <c r="L207" s="79"/>
      <c r="M207" s="79"/>
    </row>
    <row r="208" spans="1:26" ht="13.8" thickBot="1" x14ac:dyDescent="0.3">
      <c r="B208" s="72"/>
      <c r="C208" s="72" t="s">
        <v>326</v>
      </c>
      <c r="D208" s="79"/>
      <c r="E208" s="72"/>
      <c r="F208" s="119"/>
      <c r="G208" s="74" t="s">
        <v>20</v>
      </c>
      <c r="H208" s="99"/>
      <c r="I208" s="73" t="s">
        <v>5</v>
      </c>
      <c r="J208" s="79">
        <f>F208*H208</f>
        <v>0</v>
      </c>
      <c r="K208" s="72" t="s">
        <v>14</v>
      </c>
      <c r="L208" s="79"/>
      <c r="M208" s="79"/>
    </row>
    <row r="209" spans="1:26" ht="13.8" thickBot="1" x14ac:dyDescent="0.3">
      <c r="B209" s="72"/>
      <c r="C209" s="72" t="s">
        <v>326</v>
      </c>
      <c r="D209" s="72"/>
      <c r="E209" s="72"/>
      <c r="F209" s="119"/>
      <c r="G209" s="74" t="s">
        <v>20</v>
      </c>
      <c r="H209" s="99"/>
      <c r="I209" s="73" t="s">
        <v>5</v>
      </c>
      <c r="J209" s="79">
        <f t="shared" ref="J209:J215" si="18">F209*H209</f>
        <v>0</v>
      </c>
      <c r="K209" s="72" t="s">
        <v>14</v>
      </c>
      <c r="L209" s="79"/>
      <c r="M209" s="79"/>
    </row>
    <row r="210" spans="1:26" ht="13.8" thickBot="1" x14ac:dyDescent="0.3">
      <c r="B210" s="72"/>
      <c r="C210" s="72" t="s">
        <v>326</v>
      </c>
      <c r="D210" s="72"/>
      <c r="E210" s="72"/>
      <c r="F210" s="119"/>
      <c r="G210" s="74" t="s">
        <v>20</v>
      </c>
      <c r="H210" s="99"/>
      <c r="I210" s="73" t="s">
        <v>5</v>
      </c>
      <c r="J210" s="79">
        <f t="shared" si="18"/>
        <v>0</v>
      </c>
      <c r="K210" s="72" t="s">
        <v>14</v>
      </c>
      <c r="L210" s="79"/>
      <c r="M210" s="79"/>
    </row>
    <row r="211" spans="1:26" x14ac:dyDescent="0.25">
      <c r="B211" s="72"/>
      <c r="C211" s="72"/>
      <c r="D211" s="72"/>
      <c r="E211" s="72"/>
      <c r="F211" s="212"/>
      <c r="G211" s="74"/>
      <c r="H211" s="213"/>
      <c r="I211" s="73"/>
      <c r="J211" s="79"/>
      <c r="K211" s="72"/>
      <c r="L211" s="79"/>
      <c r="M211" s="79"/>
    </row>
    <row r="212" spans="1:26" ht="13.8" thickBot="1" x14ac:dyDescent="0.3">
      <c r="B212" s="214" t="s">
        <v>358</v>
      </c>
      <c r="C212" s="72"/>
      <c r="D212" s="72"/>
      <c r="E212" s="72"/>
      <c r="F212" s="212"/>
      <c r="G212" s="74"/>
      <c r="H212" s="213"/>
      <c r="I212" s="73"/>
      <c r="J212" s="79"/>
      <c r="K212" s="72"/>
      <c r="L212" s="79"/>
      <c r="M212" s="79"/>
    </row>
    <row r="213" spans="1:26" ht="13.8" thickBot="1" x14ac:dyDescent="0.3">
      <c r="B213" s="72"/>
      <c r="C213" s="72" t="s">
        <v>326</v>
      </c>
      <c r="D213" s="72"/>
      <c r="E213" s="72"/>
      <c r="F213" s="119"/>
      <c r="G213" s="74"/>
      <c r="H213" s="119"/>
      <c r="I213" s="73"/>
      <c r="J213" s="79">
        <f t="shared" si="18"/>
        <v>0</v>
      </c>
      <c r="K213" s="72" t="s">
        <v>14</v>
      </c>
      <c r="L213" s="79"/>
      <c r="M213" s="79"/>
    </row>
    <row r="214" spans="1:26" ht="13.8" thickBot="1" x14ac:dyDescent="0.3">
      <c r="B214" s="72"/>
      <c r="C214" s="72" t="s">
        <v>326</v>
      </c>
      <c r="D214" s="72"/>
      <c r="E214" s="72"/>
      <c r="F214" s="119"/>
      <c r="G214" s="74"/>
      <c r="H214" s="119"/>
      <c r="I214" s="73"/>
      <c r="J214" s="79">
        <f t="shared" si="18"/>
        <v>0</v>
      </c>
      <c r="K214" s="72" t="s">
        <v>14</v>
      </c>
      <c r="L214" s="79"/>
      <c r="M214" s="79"/>
    </row>
    <row r="215" spans="1:26" ht="13.8" thickBot="1" x14ac:dyDescent="0.3">
      <c r="B215" s="72"/>
      <c r="C215" s="72" t="s">
        <v>326</v>
      </c>
      <c r="D215" s="72"/>
      <c r="E215" s="72"/>
      <c r="F215" s="119"/>
      <c r="G215" s="74"/>
      <c r="H215" s="119"/>
      <c r="I215" s="73"/>
      <c r="J215" s="79">
        <f t="shared" si="18"/>
        <v>0</v>
      </c>
      <c r="K215" s="72" t="s">
        <v>14</v>
      </c>
      <c r="L215" s="79"/>
      <c r="M215" s="79"/>
    </row>
    <row r="216" spans="1:26" s="8" customFormat="1" x14ac:dyDescent="0.25">
      <c r="A216" s="427"/>
      <c r="B216" s="241"/>
      <c r="C216" s="241" t="s">
        <v>196</v>
      </c>
      <c r="D216" s="241"/>
      <c r="E216" s="241"/>
      <c r="F216" s="273"/>
      <c r="G216" s="242"/>
      <c r="H216" s="273"/>
      <c r="I216" s="243"/>
      <c r="J216" s="241">
        <f>SUM(J208:J215)</f>
        <v>0</v>
      </c>
      <c r="K216" s="241" t="s">
        <v>14</v>
      </c>
      <c r="L216" s="241"/>
      <c r="M216" s="241"/>
      <c r="N216"/>
      <c r="O216"/>
      <c r="P216"/>
      <c r="Q216"/>
      <c r="R216"/>
      <c r="S216"/>
      <c r="T216"/>
      <c r="U216"/>
      <c r="Y216"/>
      <c r="Z216"/>
    </row>
    <row r="217" spans="1:26" x14ac:dyDescent="0.25">
      <c r="B217" s="72"/>
      <c r="C217" s="72"/>
      <c r="D217" s="72"/>
      <c r="E217" s="72"/>
      <c r="F217" s="74"/>
      <c r="G217" s="74"/>
      <c r="H217" s="73"/>
      <c r="I217" s="73"/>
      <c r="J217" s="79"/>
      <c r="K217" s="72"/>
      <c r="L217" s="79"/>
      <c r="M217" s="79"/>
      <c r="N217" s="8"/>
      <c r="O217" s="8"/>
      <c r="P217" s="8"/>
      <c r="Q217" s="8"/>
      <c r="R217" s="8"/>
      <c r="S217" s="8"/>
      <c r="T217" s="8"/>
      <c r="U217" s="8"/>
      <c r="Y217" s="8"/>
      <c r="Z217" s="8"/>
    </row>
    <row r="218" spans="1:26" ht="46.95" customHeight="1" x14ac:dyDescent="0.25">
      <c r="B218" s="534"/>
      <c r="C218" s="534"/>
      <c r="D218" s="534"/>
      <c r="E218" s="534"/>
      <c r="F218" s="534"/>
      <c r="G218" s="534"/>
      <c r="H218" s="534"/>
      <c r="I218" s="534"/>
      <c r="J218" s="534"/>
      <c r="K218" s="534"/>
      <c r="L218" s="534"/>
      <c r="M218" s="534"/>
    </row>
    <row r="219" spans="1:26" s="5" customFormat="1" ht="30" customHeight="1" x14ac:dyDescent="0.3">
      <c r="A219" s="426"/>
      <c r="B219" s="639" t="s">
        <v>567</v>
      </c>
      <c r="C219" s="640"/>
      <c r="D219" s="640"/>
      <c r="E219" s="640"/>
      <c r="F219" s="975" t="s">
        <v>159</v>
      </c>
      <c r="G219" s="975"/>
      <c r="H219" s="975" t="s">
        <v>158</v>
      </c>
      <c r="I219" s="975"/>
      <c r="J219" s="975" t="s">
        <v>324</v>
      </c>
      <c r="K219" s="975"/>
      <c r="L219" s="129"/>
      <c r="M219" s="129"/>
      <c r="N219"/>
      <c r="O219"/>
      <c r="P219"/>
      <c r="Q219"/>
      <c r="R219"/>
      <c r="S219"/>
      <c r="T219"/>
      <c r="U219"/>
      <c r="Y219"/>
      <c r="Z219"/>
    </row>
    <row r="220" spans="1:26" s="5" customFormat="1" ht="13.8" thickBot="1" x14ac:dyDescent="0.3">
      <c r="A220" s="426"/>
      <c r="B220" s="640"/>
      <c r="C220" s="640"/>
      <c r="D220" s="640"/>
      <c r="E220" s="640"/>
      <c r="F220" s="640"/>
      <c r="G220" s="640"/>
      <c r="H220" s="641"/>
      <c r="I220" s="641"/>
      <c r="J220" s="129"/>
      <c r="K220" s="129"/>
      <c r="L220" s="129"/>
      <c r="M220" s="129"/>
    </row>
    <row r="221" spans="1:26" s="5" customFormat="1" ht="13.8" thickBot="1" x14ac:dyDescent="0.3">
      <c r="A221" s="426"/>
      <c r="B221" s="640"/>
      <c r="C221" s="640" t="s">
        <v>438</v>
      </c>
      <c r="D221" s="129"/>
      <c r="E221" s="640"/>
      <c r="F221" s="642">
        <v>5</v>
      </c>
      <c r="G221" s="640" t="s">
        <v>439</v>
      </c>
      <c r="H221" s="643">
        <v>160</v>
      </c>
      <c r="I221" s="641" t="s">
        <v>440</v>
      </c>
      <c r="J221" s="644">
        <f t="shared" ref="J221:J223" si="19">F221*H221</f>
        <v>800</v>
      </c>
      <c r="K221" s="640" t="s">
        <v>14</v>
      </c>
      <c r="L221" s="129"/>
      <c r="M221" s="129"/>
    </row>
    <row r="222" spans="1:26" s="5" customFormat="1" ht="13.8" thickBot="1" x14ac:dyDescent="0.3">
      <c r="A222" s="426"/>
      <c r="B222" s="640"/>
      <c r="C222" s="640" t="s">
        <v>510</v>
      </c>
      <c r="D222" s="640"/>
      <c r="E222" s="640"/>
      <c r="F222" s="642"/>
      <c r="G222" s="640" t="s">
        <v>0</v>
      </c>
      <c r="H222" s="643"/>
      <c r="I222" s="641" t="s">
        <v>14</v>
      </c>
      <c r="J222" s="644">
        <f t="shared" si="19"/>
        <v>0</v>
      </c>
      <c r="K222" s="640" t="s">
        <v>14</v>
      </c>
      <c r="L222" s="129"/>
      <c r="M222" s="129"/>
    </row>
    <row r="223" spans="1:26" s="5" customFormat="1" ht="13.8" thickBot="1" x14ac:dyDescent="0.3">
      <c r="A223" s="426"/>
      <c r="B223" s="640"/>
      <c r="C223" s="640" t="s">
        <v>510</v>
      </c>
      <c r="D223" s="640"/>
      <c r="E223" s="640"/>
      <c r="F223" s="642"/>
      <c r="G223" s="640" t="s">
        <v>0</v>
      </c>
      <c r="H223" s="643"/>
      <c r="I223" s="641" t="s">
        <v>14</v>
      </c>
      <c r="J223" s="644">
        <f t="shared" si="19"/>
        <v>0</v>
      </c>
      <c r="K223" s="640" t="s">
        <v>14</v>
      </c>
      <c r="L223" s="129"/>
      <c r="M223" s="129"/>
    </row>
    <row r="224" spans="1:26" s="5" customFormat="1" x14ac:dyDescent="0.25">
      <c r="A224" s="426"/>
      <c r="B224" s="369"/>
      <c r="C224" s="369" t="s">
        <v>196</v>
      </c>
      <c r="D224" s="369"/>
      <c r="E224" s="369"/>
      <c r="F224" s="645"/>
      <c r="G224" s="369"/>
      <c r="H224" s="646"/>
      <c r="I224" s="647"/>
      <c r="J224" s="648">
        <f>SUM(J221:J223)</f>
        <v>800</v>
      </c>
      <c r="K224" s="369" t="s">
        <v>14</v>
      </c>
      <c r="L224" s="369"/>
      <c r="M224" s="369"/>
    </row>
    <row r="225" spans="1:26" s="5" customFormat="1" x14ac:dyDescent="0.25">
      <c r="A225" s="426"/>
      <c r="B225" s="640"/>
      <c r="C225" s="640"/>
      <c r="D225" s="640"/>
      <c r="E225" s="640"/>
      <c r="F225" s="640"/>
      <c r="G225" s="640"/>
      <c r="H225" s="641"/>
      <c r="I225" s="641"/>
      <c r="J225" s="644"/>
      <c r="K225" s="640"/>
      <c r="L225" s="129"/>
      <c r="M225" s="129"/>
    </row>
    <row r="226" spans="1:26" s="5" customFormat="1" ht="30" customHeight="1" x14ac:dyDescent="0.25">
      <c r="A226" s="426"/>
      <c r="B226" s="535"/>
      <c r="C226" s="535"/>
      <c r="D226" s="535"/>
      <c r="E226" s="535"/>
      <c r="F226" s="539"/>
      <c r="G226" s="539"/>
      <c r="H226" s="537"/>
      <c r="I226" s="537"/>
      <c r="J226" s="534"/>
      <c r="K226" s="535"/>
      <c r="L226" s="534"/>
      <c r="M226" s="534"/>
    </row>
    <row r="227" spans="1:26" ht="40.950000000000003" customHeight="1" x14ac:dyDescent="0.3">
      <c r="A227" s="432"/>
      <c r="B227" s="110" t="s">
        <v>98</v>
      </c>
      <c r="C227" s="82"/>
      <c r="D227" s="82"/>
      <c r="E227" s="82"/>
      <c r="F227" s="965" t="s">
        <v>159</v>
      </c>
      <c r="G227" s="965"/>
      <c r="H227" s="965" t="s">
        <v>158</v>
      </c>
      <c r="I227" s="965"/>
      <c r="J227" s="965" t="s">
        <v>324</v>
      </c>
      <c r="K227" s="965"/>
      <c r="L227" s="84"/>
      <c r="M227" s="84"/>
      <c r="N227" s="5"/>
      <c r="O227" s="5"/>
      <c r="P227" s="5"/>
      <c r="Q227" s="5"/>
      <c r="R227" s="5"/>
      <c r="S227" s="5"/>
      <c r="T227" s="5"/>
      <c r="U227" s="5"/>
      <c r="Y227" s="5"/>
      <c r="Z227" s="5"/>
    </row>
    <row r="228" spans="1:26" ht="13.8" thickBot="1" x14ac:dyDescent="0.3">
      <c r="A228" s="432"/>
      <c r="B228" s="82"/>
      <c r="C228" s="82"/>
      <c r="D228" s="82"/>
      <c r="E228" s="82"/>
      <c r="F228" s="82"/>
      <c r="G228" s="82"/>
      <c r="H228" s="83"/>
      <c r="I228" s="83"/>
      <c r="J228" s="84"/>
      <c r="K228" s="84"/>
      <c r="L228" s="84"/>
      <c r="M228" s="84"/>
      <c r="N228" s="5"/>
    </row>
    <row r="229" spans="1:26" ht="13.8" thickBot="1" x14ac:dyDescent="0.3">
      <c r="A229" s="432"/>
      <c r="B229" s="82"/>
      <c r="C229" s="82" t="s">
        <v>526</v>
      </c>
      <c r="D229" s="82"/>
      <c r="E229" s="82"/>
      <c r="F229" s="463">
        <f>IF(S10&gt;0,S10*'Gårdens info'!$G$27/1,0)</f>
        <v>900</v>
      </c>
      <c r="G229" s="82" t="s">
        <v>153</v>
      </c>
      <c r="H229" s="99"/>
      <c r="I229" s="83" t="s">
        <v>152</v>
      </c>
      <c r="J229" s="85">
        <f>F229*H229</f>
        <v>0</v>
      </c>
      <c r="K229" s="82" t="s">
        <v>14</v>
      </c>
      <c r="L229" s="84"/>
      <c r="M229" s="84"/>
      <c r="N229" s="5"/>
    </row>
    <row r="230" spans="1:26" ht="13.8" thickBot="1" x14ac:dyDescent="0.3">
      <c r="A230" s="432"/>
      <c r="B230" s="82"/>
      <c r="C230" s="82" t="s">
        <v>443</v>
      </c>
      <c r="D230" s="84"/>
      <c r="E230" s="82"/>
      <c r="F230" s="463">
        <f>IF(S11&gt;0,S11*'Gårdens info'!$G$27/5,0)</f>
        <v>0</v>
      </c>
      <c r="G230" s="82" t="s">
        <v>153</v>
      </c>
      <c r="H230" s="99">
        <v>0.1</v>
      </c>
      <c r="I230" s="83" t="s">
        <v>152</v>
      </c>
      <c r="J230" s="85">
        <f>F230*H230</f>
        <v>0</v>
      </c>
      <c r="K230" s="82" t="s">
        <v>14</v>
      </c>
      <c r="L230" s="84"/>
      <c r="M230" s="84"/>
      <c r="N230" s="5"/>
    </row>
    <row r="231" spans="1:26" ht="13.8" thickBot="1" x14ac:dyDescent="0.3">
      <c r="A231" s="432"/>
      <c r="B231" s="82"/>
      <c r="C231" s="82" t="s">
        <v>444</v>
      </c>
      <c r="D231" s="84"/>
      <c r="E231" s="82"/>
      <c r="F231" s="463">
        <f>IF(S12&gt;0,S12*'Gårdens info'!$G$27/3,0)</f>
        <v>1050</v>
      </c>
      <c r="G231" s="82" t="s">
        <v>153</v>
      </c>
      <c r="H231" s="99">
        <v>0.1</v>
      </c>
      <c r="I231" s="83" t="s">
        <v>152</v>
      </c>
      <c r="J231" s="85">
        <f t="shared" ref="J231:J236" si="20">F231*H231</f>
        <v>105</v>
      </c>
      <c r="K231" s="82" t="s">
        <v>14</v>
      </c>
      <c r="L231" s="84"/>
      <c r="M231" s="84"/>
      <c r="N231" s="5"/>
    </row>
    <row r="232" spans="1:26" ht="13.8" thickBot="1" x14ac:dyDescent="0.3">
      <c r="A232" s="432"/>
      <c r="B232" s="82"/>
      <c r="C232" s="82" t="s">
        <v>445</v>
      </c>
      <c r="D232" s="84"/>
      <c r="E232" s="82"/>
      <c r="F232" s="463">
        <f>IF(S13&gt;0,S13*'Gårdens info'!$G$27/0.5,0)</f>
        <v>900</v>
      </c>
      <c r="G232" s="82" t="s">
        <v>153</v>
      </c>
      <c r="H232" s="99">
        <v>0.05</v>
      </c>
      <c r="I232" s="83" t="s">
        <v>152</v>
      </c>
      <c r="J232" s="85">
        <f t="shared" si="20"/>
        <v>45</v>
      </c>
      <c r="K232" s="82" t="s">
        <v>14</v>
      </c>
      <c r="L232" s="84"/>
      <c r="M232" s="84"/>
      <c r="N232" s="5"/>
    </row>
    <row r="233" spans="1:26" ht="13.8" thickBot="1" x14ac:dyDescent="0.3">
      <c r="A233" s="432"/>
      <c r="B233" s="82"/>
      <c r="C233" s="82" t="s">
        <v>446</v>
      </c>
      <c r="D233" s="84"/>
      <c r="E233" s="82"/>
      <c r="F233" s="463">
        <f>IF(S14&gt;0,S14*'Gårdens info'!$G$27/0.25,0)</f>
        <v>0</v>
      </c>
      <c r="G233" s="82" t="s">
        <v>153</v>
      </c>
      <c r="H233" s="99">
        <v>0.04</v>
      </c>
      <c r="I233" s="83" t="s">
        <v>152</v>
      </c>
      <c r="J233" s="85">
        <f t="shared" si="20"/>
        <v>0</v>
      </c>
      <c r="K233" s="82" t="s">
        <v>14</v>
      </c>
      <c r="L233" s="84"/>
      <c r="M233" s="84"/>
      <c r="N233" s="5"/>
    </row>
    <row r="234" spans="1:26" ht="13.8" thickBot="1" x14ac:dyDescent="0.3">
      <c r="A234" s="432"/>
      <c r="B234" s="82"/>
      <c r="C234" s="96" t="s">
        <v>511</v>
      </c>
      <c r="D234" s="96"/>
      <c r="E234" s="82" t="s">
        <v>21</v>
      </c>
      <c r="F234" s="463">
        <f>IF(S15&gt;0,S15*'Gårdens info'!$G$27/D234,0)</f>
        <v>0</v>
      </c>
      <c r="G234" s="82" t="s">
        <v>153</v>
      </c>
      <c r="H234" s="99"/>
      <c r="I234" s="83" t="s">
        <v>152</v>
      </c>
      <c r="J234" s="85">
        <f t="shared" si="20"/>
        <v>0</v>
      </c>
      <c r="K234" s="82" t="s">
        <v>14</v>
      </c>
      <c r="L234" s="84"/>
      <c r="M234" s="84"/>
    </row>
    <row r="235" spans="1:26" ht="13.8" thickBot="1" x14ac:dyDescent="0.3">
      <c r="A235" s="432"/>
      <c r="B235" s="82"/>
      <c r="C235" s="96" t="s">
        <v>511</v>
      </c>
      <c r="D235" s="96"/>
      <c r="E235" s="82" t="s">
        <v>21</v>
      </c>
      <c r="F235" s="463">
        <f>IF(S16&gt;0,S16*'Gårdens info'!$G$27/D235,0)</f>
        <v>0</v>
      </c>
      <c r="G235" s="82" t="s">
        <v>153</v>
      </c>
      <c r="H235" s="99"/>
      <c r="I235" s="83" t="s">
        <v>152</v>
      </c>
      <c r="J235" s="85">
        <f t="shared" si="20"/>
        <v>0</v>
      </c>
      <c r="K235" s="82" t="s">
        <v>14</v>
      </c>
      <c r="L235" s="84"/>
      <c r="M235" s="84"/>
    </row>
    <row r="236" spans="1:26" ht="13.8" thickBot="1" x14ac:dyDescent="0.3">
      <c r="B236" s="82"/>
      <c r="C236" s="96" t="s">
        <v>511</v>
      </c>
      <c r="D236" s="96"/>
      <c r="E236" s="82" t="s">
        <v>21</v>
      </c>
      <c r="F236" s="463">
        <f>IF(S17&gt;0,S17*'Gårdens info'!$G$27/D236,0)</f>
        <v>0</v>
      </c>
      <c r="G236" s="82" t="s">
        <v>153</v>
      </c>
      <c r="H236" s="99"/>
      <c r="I236" s="83" t="s">
        <v>152</v>
      </c>
      <c r="J236" s="85">
        <f t="shared" si="20"/>
        <v>0</v>
      </c>
      <c r="K236" s="82" t="s">
        <v>14</v>
      </c>
      <c r="L236" s="84"/>
      <c r="M236" s="84"/>
    </row>
    <row r="237" spans="1:26" x14ac:dyDescent="0.25">
      <c r="B237" s="245"/>
      <c r="C237" s="245" t="s">
        <v>196</v>
      </c>
      <c r="D237" s="245"/>
      <c r="E237" s="245"/>
      <c r="F237" s="246"/>
      <c r="G237" s="245"/>
      <c r="H237" s="247"/>
      <c r="I237" s="248"/>
      <c r="J237" s="249">
        <f>SUM(J230:J236)</f>
        <v>150</v>
      </c>
      <c r="K237" s="245" t="s">
        <v>14</v>
      </c>
      <c r="L237" s="245"/>
      <c r="M237" s="245"/>
    </row>
    <row r="238" spans="1:26" s="8" customFormat="1" x14ac:dyDescent="0.25">
      <c r="A238" s="427"/>
      <c r="B238" s="82"/>
      <c r="C238" s="82"/>
      <c r="D238" s="82"/>
      <c r="E238" s="82"/>
      <c r="F238" s="82"/>
      <c r="G238" s="82"/>
      <c r="H238" s="83"/>
      <c r="I238" s="83"/>
      <c r="J238" s="85"/>
      <c r="K238" s="82"/>
      <c r="L238" s="84"/>
      <c r="M238" s="84"/>
      <c r="N238"/>
      <c r="O238"/>
      <c r="P238"/>
      <c r="Q238"/>
      <c r="R238"/>
      <c r="S238"/>
      <c r="T238"/>
      <c r="U238"/>
      <c r="Y238"/>
      <c r="Z238"/>
    </row>
    <row r="239" spans="1:26" s="5" customFormat="1" ht="30" customHeight="1" x14ac:dyDescent="0.25">
      <c r="A239" s="426"/>
      <c r="B239" s="535"/>
      <c r="C239" s="535"/>
      <c r="D239" s="535"/>
      <c r="E239" s="535"/>
      <c r="F239" s="539"/>
      <c r="G239" s="539"/>
      <c r="H239" s="537"/>
      <c r="I239" s="537"/>
      <c r="J239" s="534"/>
      <c r="K239" s="535"/>
      <c r="L239" s="534"/>
      <c r="M239" s="534"/>
    </row>
    <row r="240" spans="1:26" ht="30" customHeight="1" x14ac:dyDescent="0.3">
      <c r="B240" s="111" t="s">
        <v>568</v>
      </c>
      <c r="C240" s="87"/>
      <c r="D240" s="87"/>
      <c r="E240" s="87"/>
      <c r="F240" s="966" t="s">
        <v>159</v>
      </c>
      <c r="G240" s="966"/>
      <c r="H240" s="966" t="s">
        <v>158</v>
      </c>
      <c r="I240" s="966"/>
      <c r="J240" s="966" t="s">
        <v>324</v>
      </c>
      <c r="K240" s="966"/>
      <c r="L240" s="89"/>
      <c r="M240" s="89"/>
    </row>
    <row r="241" spans="1:26" ht="13.8" thickBot="1" x14ac:dyDescent="0.3">
      <c r="B241" s="87"/>
      <c r="C241" s="87"/>
      <c r="D241" s="87"/>
      <c r="E241" s="87"/>
      <c r="F241" s="87"/>
      <c r="G241" s="87"/>
      <c r="H241" s="88"/>
      <c r="I241" s="88"/>
      <c r="J241" s="89"/>
      <c r="K241" s="89"/>
      <c r="L241" s="89"/>
      <c r="M241" s="89"/>
    </row>
    <row r="242" spans="1:26" ht="13.8" thickBot="1" x14ac:dyDescent="0.3">
      <c r="B242" s="87"/>
      <c r="C242" s="87" t="s">
        <v>483</v>
      </c>
      <c r="D242" s="89"/>
      <c r="E242" s="87"/>
      <c r="F242" s="96">
        <f>'Gårdens info'!D27*'Gårdens info'!G27</f>
        <v>4500</v>
      </c>
      <c r="G242" s="87" t="s">
        <v>21</v>
      </c>
      <c r="H242" s="99">
        <v>0.5</v>
      </c>
      <c r="I242" s="88" t="s">
        <v>6</v>
      </c>
      <c r="J242" s="90">
        <f t="shared" ref="J242:J244" si="21">F242*H242</f>
        <v>2250</v>
      </c>
      <c r="K242" s="87" t="s">
        <v>14</v>
      </c>
      <c r="L242" s="89"/>
      <c r="M242" s="89"/>
    </row>
    <row r="243" spans="1:26" ht="13.8" thickBot="1" x14ac:dyDescent="0.3">
      <c r="B243" s="87"/>
      <c r="C243" s="87" t="s">
        <v>510</v>
      </c>
      <c r="D243" s="87"/>
      <c r="E243" s="87"/>
      <c r="F243" s="96"/>
      <c r="G243" s="87" t="s">
        <v>21</v>
      </c>
      <c r="H243" s="99"/>
      <c r="I243" s="88" t="s">
        <v>6</v>
      </c>
      <c r="J243" s="90">
        <f t="shared" si="21"/>
        <v>0</v>
      </c>
      <c r="K243" s="87" t="s">
        <v>14</v>
      </c>
      <c r="L243" s="89"/>
      <c r="M243" s="89"/>
    </row>
    <row r="244" spans="1:26" ht="13.8" thickBot="1" x14ac:dyDescent="0.3">
      <c r="B244" s="87"/>
      <c r="C244" s="87" t="s">
        <v>510</v>
      </c>
      <c r="D244" s="87"/>
      <c r="E244" s="87"/>
      <c r="F244" s="96"/>
      <c r="G244" s="87" t="s">
        <v>21</v>
      </c>
      <c r="H244" s="99"/>
      <c r="I244" s="88" t="s">
        <v>6</v>
      </c>
      <c r="J244" s="90">
        <f t="shared" si="21"/>
        <v>0</v>
      </c>
      <c r="K244" s="87" t="s">
        <v>14</v>
      </c>
      <c r="L244" s="89"/>
      <c r="M244" s="89"/>
    </row>
    <row r="245" spans="1:26" x14ac:dyDescent="0.25">
      <c r="B245" s="250"/>
      <c r="C245" s="250" t="s">
        <v>196</v>
      </c>
      <c r="D245" s="250"/>
      <c r="E245" s="250"/>
      <c r="F245" s="251"/>
      <c r="G245" s="250"/>
      <c r="H245" s="252"/>
      <c r="I245" s="253"/>
      <c r="J245" s="254">
        <f>SUM(J242:J244)</f>
        <v>2250</v>
      </c>
      <c r="K245" s="250" t="s">
        <v>14</v>
      </c>
      <c r="L245" s="250"/>
      <c r="M245" s="250"/>
    </row>
    <row r="246" spans="1:26" s="8" customFormat="1" x14ac:dyDescent="0.25">
      <c r="A246" s="427"/>
      <c r="B246" s="87"/>
      <c r="C246" s="87"/>
      <c r="D246" s="87"/>
      <c r="E246" s="87"/>
      <c r="F246" s="87"/>
      <c r="G246" s="87"/>
      <c r="H246" s="88"/>
      <c r="I246" s="88"/>
      <c r="J246" s="90"/>
      <c r="K246" s="87"/>
      <c r="L246" s="89"/>
      <c r="M246" s="89"/>
      <c r="N246"/>
      <c r="O246"/>
      <c r="P246"/>
      <c r="Q246"/>
      <c r="R246"/>
      <c r="S246"/>
      <c r="T246"/>
      <c r="U246"/>
      <c r="Y246"/>
      <c r="Z246"/>
    </row>
    <row r="247" spans="1:26" ht="36" customHeight="1" x14ac:dyDescent="0.25">
      <c r="B247" s="534"/>
      <c r="C247" s="534"/>
      <c r="D247" s="534"/>
      <c r="E247" s="534"/>
      <c r="F247" s="534"/>
      <c r="G247" s="534"/>
      <c r="H247" s="534"/>
      <c r="I247" s="534"/>
      <c r="J247" s="534"/>
      <c r="K247" s="534"/>
      <c r="L247" s="534"/>
      <c r="M247" s="534"/>
    </row>
    <row r="248" spans="1:26" ht="36" customHeight="1" x14ac:dyDescent="0.3">
      <c r="B248" s="219" t="s">
        <v>549</v>
      </c>
      <c r="C248" s="220"/>
      <c r="D248" s="220"/>
      <c r="E248" s="220"/>
      <c r="F248" s="964" t="s">
        <v>159</v>
      </c>
      <c r="G248" s="964"/>
      <c r="H248" s="964" t="s">
        <v>158</v>
      </c>
      <c r="I248" s="964"/>
      <c r="J248" s="964" t="s">
        <v>324</v>
      </c>
      <c r="K248" s="964"/>
      <c r="L248" s="222"/>
      <c r="M248" s="222"/>
    </row>
    <row r="249" spans="1:26" ht="13.8" thickBot="1" x14ac:dyDescent="0.3">
      <c r="B249" s="220"/>
      <c r="C249" s="220"/>
      <c r="D249" s="220"/>
      <c r="E249" s="220"/>
      <c r="F249" s="220"/>
      <c r="G249" s="220"/>
      <c r="H249" s="221"/>
      <c r="I249" s="221"/>
      <c r="J249" s="222"/>
      <c r="K249" s="222"/>
      <c r="L249" s="222"/>
      <c r="M249" s="222"/>
    </row>
    <row r="250" spans="1:26" ht="13.8" thickBot="1" x14ac:dyDescent="0.3">
      <c r="B250" s="220"/>
      <c r="C250" s="220" t="s">
        <v>294</v>
      </c>
      <c r="D250" s="222"/>
      <c r="E250" s="220"/>
      <c r="F250" s="96"/>
      <c r="G250" s="220" t="s">
        <v>0</v>
      </c>
      <c r="H250" s="99"/>
      <c r="I250" s="221" t="s">
        <v>14</v>
      </c>
      <c r="J250" s="223">
        <f t="shared" ref="J250:J252" si="22">F250*H250</f>
        <v>0</v>
      </c>
      <c r="K250" s="220" t="s">
        <v>14</v>
      </c>
      <c r="L250" s="222"/>
      <c r="M250" s="222"/>
    </row>
    <row r="251" spans="1:26" ht="13.8" thickBot="1" x14ac:dyDescent="0.3">
      <c r="B251" s="220"/>
      <c r="C251" s="220" t="s">
        <v>294</v>
      </c>
      <c r="D251" s="220"/>
      <c r="E251" s="220"/>
      <c r="F251" s="96"/>
      <c r="G251" s="220" t="s">
        <v>0</v>
      </c>
      <c r="H251" s="99"/>
      <c r="I251" s="221" t="s">
        <v>14</v>
      </c>
      <c r="J251" s="223">
        <f t="shared" si="22"/>
        <v>0</v>
      </c>
      <c r="K251" s="220" t="s">
        <v>14</v>
      </c>
      <c r="L251" s="222"/>
      <c r="M251" s="222"/>
    </row>
    <row r="252" spans="1:26" ht="13.8" thickBot="1" x14ac:dyDescent="0.3">
      <c r="B252" s="220"/>
      <c r="C252" s="220" t="s">
        <v>294</v>
      </c>
      <c r="D252" s="220"/>
      <c r="E252" s="220"/>
      <c r="F252" s="96"/>
      <c r="G252" s="220" t="s">
        <v>0</v>
      </c>
      <c r="H252" s="99"/>
      <c r="I252" s="221" t="s">
        <v>14</v>
      </c>
      <c r="J252" s="223">
        <f t="shared" si="22"/>
        <v>0</v>
      </c>
      <c r="K252" s="220" t="s">
        <v>14</v>
      </c>
      <c r="L252" s="222"/>
      <c r="M252" s="222"/>
    </row>
    <row r="253" spans="1:26" s="8" customFormat="1" x14ac:dyDescent="0.25">
      <c r="A253" s="427"/>
      <c r="B253" s="255"/>
      <c r="C253" s="255" t="s">
        <v>196</v>
      </c>
      <c r="D253" s="255"/>
      <c r="E253" s="255"/>
      <c r="F253" s="256"/>
      <c r="G253" s="255"/>
      <c r="H253" s="257"/>
      <c r="I253" s="258"/>
      <c r="J253" s="259">
        <f>SUM(J250:J252)</f>
        <v>0</v>
      </c>
      <c r="K253" s="255" t="s">
        <v>14</v>
      </c>
      <c r="L253" s="255"/>
      <c r="M253" s="255"/>
      <c r="N253"/>
      <c r="O253"/>
      <c r="P253"/>
      <c r="Q253"/>
      <c r="R253"/>
      <c r="S253"/>
      <c r="T253"/>
      <c r="U253"/>
      <c r="Y253"/>
      <c r="Z253"/>
    </row>
    <row r="254" spans="1:26" x14ac:dyDescent="0.25">
      <c r="B254" s="220"/>
      <c r="C254" s="220"/>
      <c r="D254" s="220"/>
      <c r="E254" s="220"/>
      <c r="F254" s="220"/>
      <c r="G254" s="220"/>
      <c r="H254" s="221"/>
      <c r="I254" s="221"/>
      <c r="J254" s="223"/>
      <c r="K254" s="220"/>
      <c r="L254" s="222"/>
      <c r="M254" s="222"/>
      <c r="N254" s="8"/>
      <c r="O254" s="8"/>
      <c r="P254" s="8"/>
      <c r="Q254" s="8"/>
      <c r="R254" s="8"/>
      <c r="S254" s="8"/>
      <c r="T254" s="8"/>
      <c r="U254" s="8"/>
      <c r="Y254" s="8"/>
      <c r="Z254" s="8"/>
    </row>
    <row r="255" spans="1:26" ht="33" customHeight="1" x14ac:dyDescent="0.25">
      <c r="B255" s="534"/>
      <c r="C255" s="534"/>
      <c r="D255" s="534"/>
      <c r="E255" s="534"/>
      <c r="F255" s="534"/>
      <c r="G255" s="534"/>
      <c r="H255" s="534"/>
      <c r="I255" s="534"/>
      <c r="J255" s="534"/>
      <c r="K255" s="534"/>
      <c r="L255" s="534"/>
      <c r="M255" s="534"/>
    </row>
    <row r="256" spans="1:26" ht="15.6" x14ac:dyDescent="0.3">
      <c r="B256" s="225" t="s">
        <v>550</v>
      </c>
      <c r="C256" s="226"/>
      <c r="D256" s="226"/>
      <c r="E256" s="227"/>
      <c r="F256" s="226" t="s">
        <v>159</v>
      </c>
      <c r="G256" s="228"/>
      <c r="H256" s="228" t="s">
        <v>158</v>
      </c>
      <c r="I256" s="226"/>
      <c r="J256" s="226" t="s">
        <v>324</v>
      </c>
      <c r="K256" s="229"/>
      <c r="L256" s="229"/>
      <c r="M256" s="229"/>
    </row>
    <row r="257" spans="1:26" ht="16.2" thickBot="1" x14ac:dyDescent="0.35">
      <c r="B257" s="225"/>
      <c r="C257" s="226"/>
      <c r="D257" s="226"/>
      <c r="E257" s="227"/>
      <c r="F257" s="226"/>
      <c r="G257" s="228"/>
      <c r="H257" s="228"/>
      <c r="I257" s="226"/>
      <c r="J257" s="226"/>
      <c r="K257" s="229"/>
      <c r="L257" s="229"/>
      <c r="M257" s="229"/>
    </row>
    <row r="258" spans="1:26" ht="13.8" thickBot="1" x14ac:dyDescent="0.3">
      <c r="B258" s="226"/>
      <c r="C258" s="226" t="s">
        <v>296</v>
      </c>
      <c r="D258" s="229"/>
      <c r="E258" s="230"/>
      <c r="F258" s="96"/>
      <c r="G258" s="231" t="s">
        <v>18</v>
      </c>
      <c r="H258" s="96"/>
      <c r="I258" s="232" t="s">
        <v>10</v>
      </c>
      <c r="J258" s="229">
        <f>H258*F258</f>
        <v>0</v>
      </c>
      <c r="K258" s="232" t="s">
        <v>14</v>
      </c>
      <c r="L258" s="229"/>
      <c r="M258" s="229"/>
    </row>
    <row r="259" spans="1:26" ht="13.8" thickBot="1" x14ac:dyDescent="0.3">
      <c r="B259" s="226"/>
      <c r="C259" s="226" t="s">
        <v>464</v>
      </c>
      <c r="D259" s="232">
        <f>F286/2</f>
        <v>34</v>
      </c>
      <c r="E259" s="226" t="s">
        <v>9</v>
      </c>
      <c r="F259" s="96">
        <f>+D259*8</f>
        <v>272</v>
      </c>
      <c r="G259" s="228" t="s">
        <v>20</v>
      </c>
      <c r="H259" s="96">
        <v>0.83</v>
      </c>
      <c r="I259" s="232" t="s">
        <v>5</v>
      </c>
      <c r="J259" s="229">
        <f>H259*F259</f>
        <v>225.76</v>
      </c>
      <c r="K259" s="232" t="s">
        <v>14</v>
      </c>
      <c r="L259" s="229"/>
      <c r="M259" s="229"/>
    </row>
    <row r="260" spans="1:26" ht="13.8" thickBot="1" x14ac:dyDescent="0.3">
      <c r="B260" s="226"/>
      <c r="C260" s="226" t="s">
        <v>298</v>
      </c>
      <c r="D260" s="232">
        <f>D259</f>
        <v>34</v>
      </c>
      <c r="E260" s="226" t="s">
        <v>9</v>
      </c>
      <c r="F260" s="96">
        <v>11.88</v>
      </c>
      <c r="G260" s="228" t="s">
        <v>21</v>
      </c>
      <c r="H260" s="96">
        <v>4</v>
      </c>
      <c r="I260" s="232" t="s">
        <v>6</v>
      </c>
      <c r="J260" s="229">
        <f t="shared" ref="J260:J264" si="23">H260*F260</f>
        <v>47.52</v>
      </c>
      <c r="K260" s="232" t="s">
        <v>14</v>
      </c>
      <c r="L260" s="229"/>
      <c r="M260" s="229"/>
    </row>
    <row r="261" spans="1:26" ht="13.8" thickBot="1" x14ac:dyDescent="0.3">
      <c r="B261" s="226"/>
      <c r="C261" s="226" t="s">
        <v>19</v>
      </c>
      <c r="D261" s="229"/>
      <c r="E261" s="232"/>
      <c r="F261" s="96">
        <v>200</v>
      </c>
      <c r="G261" s="228" t="s">
        <v>20</v>
      </c>
      <c r="H261" s="96">
        <v>1.53</v>
      </c>
      <c r="I261" s="232" t="s">
        <v>5</v>
      </c>
      <c r="J261" s="229">
        <f t="shared" si="23"/>
        <v>306</v>
      </c>
      <c r="K261" s="232" t="s">
        <v>14</v>
      </c>
      <c r="L261" s="229"/>
      <c r="M261" s="229"/>
    </row>
    <row r="262" spans="1:26" ht="13.8" thickBot="1" x14ac:dyDescent="0.3">
      <c r="B262" s="226"/>
      <c r="C262" s="226" t="s">
        <v>299</v>
      </c>
      <c r="D262" s="229"/>
      <c r="E262" s="232"/>
      <c r="F262" s="96">
        <v>1.48</v>
      </c>
      <c r="G262" s="228" t="s">
        <v>20</v>
      </c>
      <c r="H262" s="96">
        <v>1.6</v>
      </c>
      <c r="I262" s="232" t="s">
        <v>5</v>
      </c>
      <c r="J262" s="229">
        <f t="shared" si="23"/>
        <v>2.3679999999999999</v>
      </c>
      <c r="K262" s="232" t="s">
        <v>14</v>
      </c>
      <c r="L262" s="229"/>
      <c r="M262" s="229"/>
    </row>
    <row r="263" spans="1:26" ht="13.8" thickBot="1" x14ac:dyDescent="0.3">
      <c r="B263" s="226"/>
      <c r="C263" s="226" t="s">
        <v>300</v>
      </c>
      <c r="D263" s="229"/>
      <c r="E263" s="232"/>
      <c r="F263" s="96"/>
      <c r="G263" s="228"/>
      <c r="H263" s="96"/>
      <c r="I263" s="232"/>
      <c r="J263" s="229">
        <f t="shared" si="23"/>
        <v>0</v>
      </c>
      <c r="K263" s="232" t="s">
        <v>14</v>
      </c>
      <c r="L263" s="229"/>
      <c r="M263" s="229"/>
    </row>
    <row r="264" spans="1:26" ht="13.8" thickBot="1" x14ac:dyDescent="0.3">
      <c r="B264" s="229"/>
      <c r="C264" s="226" t="s">
        <v>300</v>
      </c>
      <c r="D264" s="229"/>
      <c r="E264" s="229"/>
      <c r="F264" s="96"/>
      <c r="G264" s="229"/>
      <c r="H264" s="96"/>
      <c r="I264" s="229"/>
      <c r="J264" s="229">
        <f t="shared" si="23"/>
        <v>0</v>
      </c>
      <c r="K264" s="232" t="s">
        <v>14</v>
      </c>
      <c r="L264" s="229"/>
      <c r="M264" s="229"/>
    </row>
    <row r="265" spans="1:26" s="8" customFormat="1" x14ac:dyDescent="0.25">
      <c r="A265" s="427"/>
      <c r="B265" s="260"/>
      <c r="C265" s="260" t="s">
        <v>196</v>
      </c>
      <c r="D265" s="260"/>
      <c r="E265" s="260"/>
      <c r="F265" s="261"/>
      <c r="G265" s="260"/>
      <c r="H265" s="261"/>
      <c r="I265" s="260"/>
      <c r="J265" s="260">
        <f>SUM(J258:J264)</f>
        <v>581.64800000000002</v>
      </c>
      <c r="K265" s="262" t="s">
        <v>14</v>
      </c>
      <c r="L265" s="260"/>
      <c r="M265" s="260"/>
      <c r="N265"/>
      <c r="O265"/>
      <c r="P265"/>
      <c r="Q265"/>
      <c r="R265"/>
      <c r="S265"/>
      <c r="T265"/>
      <c r="U265"/>
      <c r="Y265"/>
      <c r="Z265"/>
    </row>
    <row r="266" spans="1:26" x14ac:dyDescent="0.25">
      <c r="B266" s="229"/>
      <c r="C266" s="229"/>
      <c r="D266" s="229"/>
      <c r="E266" s="229"/>
      <c r="F266" s="229"/>
      <c r="G266" s="229"/>
      <c r="H266" s="229"/>
      <c r="I266" s="229"/>
      <c r="J266" s="229"/>
      <c r="K266" s="229"/>
      <c r="L266" s="229"/>
      <c r="M266" s="229"/>
      <c r="N266" s="8"/>
      <c r="O266" s="8"/>
      <c r="P266" s="8"/>
      <c r="Q266" s="8"/>
      <c r="R266" s="8"/>
      <c r="S266" s="8"/>
      <c r="T266" s="8"/>
      <c r="U266" s="8"/>
      <c r="Y266" s="8"/>
      <c r="Z266" s="8"/>
    </row>
    <row r="267" spans="1:26" ht="37.950000000000003" customHeight="1" x14ac:dyDescent="0.25">
      <c r="B267" s="534"/>
      <c r="C267" s="534"/>
      <c r="D267" s="534"/>
      <c r="E267" s="534"/>
      <c r="F267" s="534"/>
      <c r="G267" s="534"/>
      <c r="H267" s="534"/>
      <c r="I267" s="534"/>
      <c r="J267" s="534"/>
      <c r="K267" s="534"/>
      <c r="L267" s="534"/>
      <c r="M267" s="534"/>
    </row>
    <row r="268" spans="1:26" ht="22.05" customHeight="1" x14ac:dyDescent="0.3">
      <c r="B268" s="112" t="s">
        <v>569</v>
      </c>
      <c r="C268" s="101"/>
      <c r="D268" s="101"/>
      <c r="E268" s="101"/>
      <c r="F268" s="101"/>
      <c r="G268" s="101"/>
      <c r="H268" s="101"/>
      <c r="I268" s="101"/>
      <c r="J268" s="101"/>
      <c r="K268" s="101"/>
      <c r="L268" s="101"/>
      <c r="M268" s="101"/>
    </row>
    <row r="269" spans="1:26" ht="12" customHeight="1" x14ac:dyDescent="0.3">
      <c r="B269" s="112"/>
      <c r="C269" s="101"/>
      <c r="D269" s="101"/>
      <c r="E269" s="101"/>
      <c r="F269" s="101"/>
      <c r="G269" s="101"/>
      <c r="H269" s="101"/>
      <c r="I269" s="101"/>
      <c r="J269" s="101"/>
      <c r="K269" s="101"/>
      <c r="L269" s="101"/>
      <c r="M269" s="101"/>
    </row>
    <row r="270" spans="1:26" ht="40.049999999999997" customHeight="1" x14ac:dyDescent="0.25">
      <c r="B270" s="961" t="s">
        <v>302</v>
      </c>
      <c r="C270" s="961"/>
      <c r="D270" s="961"/>
      <c r="E270" s="961"/>
      <c r="F270" s="961"/>
      <c r="G270" s="961"/>
      <c r="H270" s="961"/>
      <c r="I270" s="961"/>
      <c r="J270" s="961"/>
      <c r="K270" s="961"/>
      <c r="L270" s="961"/>
      <c r="M270" s="961"/>
    </row>
    <row r="271" spans="1:26" ht="22.05" customHeight="1" x14ac:dyDescent="0.3">
      <c r="B271" s="112"/>
      <c r="C271" s="101"/>
      <c r="D271" s="101"/>
      <c r="E271" s="834"/>
      <c r="F271" s="834"/>
      <c r="G271" s="834"/>
      <c r="H271" s="835"/>
      <c r="I271" s="835"/>
      <c r="J271" s="834"/>
      <c r="K271" s="834"/>
      <c r="L271" s="835"/>
      <c r="M271" s="835"/>
    </row>
    <row r="272" spans="1:26" ht="22.05" customHeight="1" x14ac:dyDescent="0.3">
      <c r="B272" s="112"/>
      <c r="C272" s="101"/>
      <c r="D272" s="101"/>
      <c r="E272" s="962" t="s">
        <v>303</v>
      </c>
      <c r="F272" s="962"/>
      <c r="G272" s="962"/>
      <c r="H272" s="963" t="s">
        <v>158</v>
      </c>
      <c r="I272" s="963"/>
      <c r="J272" s="963" t="s">
        <v>304</v>
      </c>
      <c r="K272" s="963"/>
      <c r="L272" s="963" t="s">
        <v>158</v>
      </c>
      <c r="M272" s="963"/>
    </row>
    <row r="273" spans="1:26" ht="10.95" customHeight="1" thickBot="1" x14ac:dyDescent="0.3">
      <c r="B273" s="100"/>
      <c r="C273" s="101"/>
      <c r="D273" s="101"/>
      <c r="E273" s="101"/>
      <c r="F273" s="101"/>
      <c r="G273" s="101"/>
      <c r="H273" s="101"/>
      <c r="I273" s="101"/>
      <c r="J273" s="101"/>
      <c r="K273" s="101"/>
      <c r="L273" s="101"/>
      <c r="M273" s="101"/>
    </row>
    <row r="274" spans="1:26" ht="13.8" thickBot="1" x14ac:dyDescent="0.3">
      <c r="B274" s="101"/>
      <c r="C274" s="102" t="s">
        <v>323</v>
      </c>
      <c r="D274" s="101"/>
      <c r="E274" s="101"/>
      <c r="F274" s="115">
        <v>2</v>
      </c>
      <c r="G274" s="104" t="s">
        <v>22</v>
      </c>
      <c r="H274" s="114">
        <f t="shared" ref="H274:H285" si="24">$H$166</f>
        <v>14.5</v>
      </c>
      <c r="I274" s="104" t="s">
        <v>11</v>
      </c>
      <c r="J274" s="116"/>
      <c r="K274" s="104" t="s">
        <v>22</v>
      </c>
      <c r="L274" s="114">
        <f t="shared" ref="L274:L285" si="25">$L$166</f>
        <v>14.5</v>
      </c>
      <c r="M274" s="104" t="s">
        <v>11</v>
      </c>
    </row>
    <row r="275" spans="1:26" ht="13.8" thickBot="1" x14ac:dyDescent="0.3">
      <c r="B275" s="101"/>
      <c r="C275" s="102" t="s">
        <v>552</v>
      </c>
      <c r="D275" s="101"/>
      <c r="E275" s="101"/>
      <c r="F275" s="115">
        <v>5</v>
      </c>
      <c r="G275" s="104" t="s">
        <v>22</v>
      </c>
      <c r="H275" s="114">
        <f t="shared" si="24"/>
        <v>14.5</v>
      </c>
      <c r="I275" s="104" t="s">
        <v>11</v>
      </c>
      <c r="J275" s="116"/>
      <c r="K275" s="104" t="s">
        <v>22</v>
      </c>
      <c r="L275" s="114">
        <f t="shared" si="25"/>
        <v>14.5</v>
      </c>
      <c r="M275" s="104" t="s">
        <v>11</v>
      </c>
    </row>
    <row r="276" spans="1:26" ht="13.8" thickBot="1" x14ac:dyDescent="0.3">
      <c r="B276" s="101"/>
      <c r="C276" s="102" t="s">
        <v>570</v>
      </c>
      <c r="D276" s="101"/>
      <c r="E276" s="101"/>
      <c r="F276" s="115">
        <v>1</v>
      </c>
      <c r="G276" s="104" t="s">
        <v>22</v>
      </c>
      <c r="H276" s="114">
        <f t="shared" si="24"/>
        <v>14.5</v>
      </c>
      <c r="I276" s="104" t="s">
        <v>11</v>
      </c>
      <c r="J276" s="116"/>
      <c r="K276" s="104" t="s">
        <v>22</v>
      </c>
      <c r="L276" s="114">
        <f t="shared" si="25"/>
        <v>14.5</v>
      </c>
      <c r="M276" s="104" t="s">
        <v>11</v>
      </c>
    </row>
    <row r="277" spans="1:26" ht="13.8" thickBot="1" x14ac:dyDescent="0.3">
      <c r="B277" s="101"/>
      <c r="C277" s="102" t="s">
        <v>427</v>
      </c>
      <c r="D277" s="101"/>
      <c r="E277" s="101"/>
      <c r="F277" s="115">
        <v>20</v>
      </c>
      <c r="G277" s="104" t="s">
        <v>22</v>
      </c>
      <c r="H277" s="114">
        <f t="shared" si="24"/>
        <v>14.5</v>
      </c>
      <c r="I277" s="104" t="s">
        <v>11</v>
      </c>
      <c r="J277" s="116">
        <v>40</v>
      </c>
      <c r="K277" s="104" t="s">
        <v>22</v>
      </c>
      <c r="L277" s="114">
        <f t="shared" si="25"/>
        <v>14.5</v>
      </c>
      <c r="M277" s="104" t="s">
        <v>11</v>
      </c>
    </row>
    <row r="278" spans="1:26" ht="13.8" thickBot="1" x14ac:dyDescent="0.3">
      <c r="B278" s="101"/>
      <c r="C278" s="102" t="s">
        <v>317</v>
      </c>
      <c r="D278" s="101"/>
      <c r="E278" s="101"/>
      <c r="F278" s="115"/>
      <c r="G278" s="104" t="s">
        <v>22</v>
      </c>
      <c r="H278" s="114">
        <f t="shared" si="24"/>
        <v>14.5</v>
      </c>
      <c r="I278" s="104" t="s">
        <v>11</v>
      </c>
      <c r="J278" s="116"/>
      <c r="K278" s="104" t="s">
        <v>22</v>
      </c>
      <c r="L278" s="114">
        <f t="shared" si="25"/>
        <v>14.5</v>
      </c>
      <c r="M278" s="104" t="s">
        <v>11</v>
      </c>
    </row>
    <row r="279" spans="1:26" ht="13.8" thickBot="1" x14ac:dyDescent="0.3">
      <c r="B279" s="101"/>
      <c r="C279" s="102" t="s">
        <v>571</v>
      </c>
      <c r="D279" s="101"/>
      <c r="E279" s="101"/>
      <c r="F279" s="115">
        <v>10</v>
      </c>
      <c r="G279" s="104" t="s">
        <v>22</v>
      </c>
      <c r="H279" s="114">
        <f t="shared" si="24"/>
        <v>14.5</v>
      </c>
      <c r="I279" s="104" t="s">
        <v>11</v>
      </c>
      <c r="J279" s="116"/>
      <c r="K279" s="104" t="s">
        <v>22</v>
      </c>
      <c r="L279" s="114">
        <f t="shared" si="25"/>
        <v>14.5</v>
      </c>
      <c r="M279" s="104" t="s">
        <v>11</v>
      </c>
    </row>
    <row r="280" spans="1:26" ht="13.8" thickBot="1" x14ac:dyDescent="0.3">
      <c r="B280" s="101"/>
      <c r="C280" s="102" t="s">
        <v>429</v>
      </c>
      <c r="D280" s="101"/>
      <c r="E280" s="101"/>
      <c r="F280" s="116">
        <v>20</v>
      </c>
      <c r="G280" s="104" t="s">
        <v>22</v>
      </c>
      <c r="H280" s="114">
        <f t="shared" si="24"/>
        <v>14.5</v>
      </c>
      <c r="I280" s="104" t="s">
        <v>11</v>
      </c>
      <c r="J280" s="116"/>
      <c r="K280" s="104" t="s">
        <v>22</v>
      </c>
      <c r="L280" s="114">
        <f t="shared" si="25"/>
        <v>14.5</v>
      </c>
      <c r="M280" s="104" t="s">
        <v>11</v>
      </c>
    </row>
    <row r="281" spans="1:26" ht="13.8" thickBot="1" x14ac:dyDescent="0.3">
      <c r="B281" s="101"/>
      <c r="C281" s="102" t="s">
        <v>132</v>
      </c>
      <c r="D281" s="101"/>
      <c r="E281" s="101"/>
      <c r="F281" s="115"/>
      <c r="G281" s="104" t="s">
        <v>21</v>
      </c>
      <c r="H281" s="115"/>
      <c r="I281" s="104" t="s">
        <v>6</v>
      </c>
      <c r="J281" s="115"/>
      <c r="K281" s="104" t="s">
        <v>21</v>
      </c>
      <c r="L281" s="115">
        <v>4.5</v>
      </c>
      <c r="M281" s="104" t="s">
        <v>6</v>
      </c>
    </row>
    <row r="282" spans="1:26" ht="13.8" thickBot="1" x14ac:dyDescent="0.3">
      <c r="B282" s="101"/>
      <c r="C282" s="102" t="s">
        <v>132</v>
      </c>
      <c r="D282" s="101"/>
      <c r="E282" s="101"/>
      <c r="F282" s="115">
        <v>10</v>
      </c>
      <c r="G282" s="104" t="s">
        <v>22</v>
      </c>
      <c r="H282" s="114">
        <f t="shared" ref="H282" si="26">$H$166</f>
        <v>14.5</v>
      </c>
      <c r="I282" s="104" t="s">
        <v>11</v>
      </c>
      <c r="J282" s="116"/>
      <c r="K282" s="104" t="s">
        <v>22</v>
      </c>
      <c r="L282" s="114">
        <f t="shared" ref="L282" si="27">$L$166</f>
        <v>14.5</v>
      </c>
      <c r="M282" s="104" t="s">
        <v>11</v>
      </c>
    </row>
    <row r="283" spans="1:26" ht="13.8" thickBot="1" x14ac:dyDescent="0.3">
      <c r="B283" s="101"/>
      <c r="C283" s="102" t="s">
        <v>431</v>
      </c>
      <c r="D283" s="101"/>
      <c r="E283" s="101"/>
      <c r="F283" s="116"/>
      <c r="G283" s="104" t="s">
        <v>22</v>
      </c>
      <c r="H283" s="114">
        <f t="shared" si="24"/>
        <v>14.5</v>
      </c>
      <c r="I283" s="104" t="s">
        <v>11</v>
      </c>
      <c r="J283" s="97"/>
      <c r="K283" s="104" t="s">
        <v>22</v>
      </c>
      <c r="L283" s="114">
        <f t="shared" si="25"/>
        <v>14.5</v>
      </c>
      <c r="M283" s="104" t="s">
        <v>11</v>
      </c>
    </row>
    <row r="284" spans="1:26" ht="13.8" thickBot="1" x14ac:dyDescent="0.3">
      <c r="B284" s="101"/>
      <c r="C284" s="102" t="s">
        <v>431</v>
      </c>
      <c r="D284" s="101"/>
      <c r="E284" s="101"/>
      <c r="F284" s="116"/>
      <c r="G284" s="104" t="s">
        <v>22</v>
      </c>
      <c r="H284" s="114">
        <f t="shared" si="24"/>
        <v>14.5</v>
      </c>
      <c r="I284" s="104" t="s">
        <v>11</v>
      </c>
      <c r="J284" s="97"/>
      <c r="K284" s="104" t="s">
        <v>22</v>
      </c>
      <c r="L284" s="114">
        <f t="shared" si="25"/>
        <v>14.5</v>
      </c>
      <c r="M284" s="104" t="s">
        <v>11</v>
      </c>
    </row>
    <row r="285" spans="1:26" ht="13.8" thickBot="1" x14ac:dyDescent="0.3">
      <c r="B285" s="101"/>
      <c r="C285" s="102" t="s">
        <v>431</v>
      </c>
      <c r="D285" s="103"/>
      <c r="E285" s="103"/>
      <c r="F285" s="97"/>
      <c r="G285" s="104" t="s">
        <v>22</v>
      </c>
      <c r="H285" s="114">
        <f t="shared" si="24"/>
        <v>14.5</v>
      </c>
      <c r="I285" s="104" t="s">
        <v>11</v>
      </c>
      <c r="J285" s="97"/>
      <c r="K285" s="104" t="s">
        <v>22</v>
      </c>
      <c r="L285" s="114">
        <f t="shared" si="25"/>
        <v>14.5</v>
      </c>
      <c r="M285" s="104" t="s">
        <v>11</v>
      </c>
    </row>
    <row r="286" spans="1:26" s="8" customFormat="1" x14ac:dyDescent="0.25">
      <c r="A286" s="427"/>
      <c r="B286" s="264"/>
      <c r="C286" s="265" t="s">
        <v>196</v>
      </c>
      <c r="D286" s="266"/>
      <c r="E286" s="266"/>
      <c r="F286" s="267">
        <f>SUM(F274:F280)+SUM(F282:F285)</f>
        <v>68</v>
      </c>
      <c r="G286" s="264" t="s">
        <v>22</v>
      </c>
      <c r="H286" s="268">
        <f>F286*H166+F281*H281</f>
        <v>986</v>
      </c>
      <c r="I286" s="264" t="s">
        <v>14</v>
      </c>
      <c r="J286" s="269">
        <f>SUM(J274:J280)+SUM(J282:J285)</f>
        <v>40</v>
      </c>
      <c r="K286" s="264" t="s">
        <v>22</v>
      </c>
      <c r="L286" s="268">
        <f>J286*L166+J281*L281</f>
        <v>580</v>
      </c>
      <c r="M286" s="264" t="s">
        <v>14</v>
      </c>
      <c r="N286"/>
      <c r="O286"/>
      <c r="P286"/>
      <c r="Q286"/>
      <c r="R286"/>
      <c r="S286"/>
      <c r="T286"/>
      <c r="U286"/>
      <c r="Y286"/>
      <c r="Z286"/>
    </row>
    <row r="287" spans="1:26" s="8" customFormat="1" ht="70.95" customHeight="1" thickBot="1" x14ac:dyDescent="0.3">
      <c r="A287" s="427"/>
      <c r="B287" s="536"/>
      <c r="C287" s="540"/>
      <c r="D287" s="541"/>
      <c r="E287" s="541"/>
      <c r="F287" s="542"/>
      <c r="G287" s="536"/>
      <c r="H287" s="543"/>
      <c r="I287" s="536"/>
      <c r="J287" s="544"/>
      <c r="K287" s="536"/>
      <c r="L287" s="543"/>
      <c r="M287" s="536"/>
    </row>
    <row r="288" spans="1:26" ht="21" customHeight="1" thickBot="1" x14ac:dyDescent="0.45">
      <c r="B288" s="953" t="s">
        <v>270</v>
      </c>
      <c r="C288" s="954"/>
      <c r="D288" s="954"/>
      <c r="E288" s="955"/>
      <c r="F288" s="534"/>
      <c r="G288" s="534"/>
      <c r="H288" s="534"/>
      <c r="I288" s="534"/>
      <c r="J288" s="567"/>
      <c r="K288" s="563"/>
      <c r="L288" s="983" t="s">
        <v>271</v>
      </c>
      <c r="M288" s="983"/>
      <c r="N288" s="983"/>
      <c r="O288" s="8"/>
      <c r="P288" s="8"/>
      <c r="Q288" s="8"/>
      <c r="R288" s="8"/>
      <c r="S288" s="8"/>
      <c r="T288" s="8"/>
      <c r="U288" s="8"/>
      <c r="Y288" s="8"/>
      <c r="Z288" s="8"/>
    </row>
    <row r="289" spans="1:26" x14ac:dyDescent="0.25">
      <c r="B289" s="534"/>
      <c r="C289" s="534"/>
      <c r="D289" s="534"/>
      <c r="E289" s="534"/>
      <c r="F289" s="534"/>
      <c r="G289" s="534"/>
      <c r="H289" s="534"/>
      <c r="I289" s="534"/>
      <c r="J289" s="534"/>
      <c r="K289" s="534"/>
      <c r="L289" s="534"/>
      <c r="M289" s="534"/>
    </row>
    <row r="290" spans="1:26" ht="15.6" x14ac:dyDescent="0.3">
      <c r="B290" s="120" t="s">
        <v>508</v>
      </c>
      <c r="C290" s="121"/>
      <c r="D290" s="121"/>
      <c r="E290" s="121"/>
      <c r="F290" s="960" t="s">
        <v>159</v>
      </c>
      <c r="G290" s="960"/>
      <c r="H290" s="960" t="s">
        <v>158</v>
      </c>
      <c r="I290" s="960"/>
      <c r="J290" s="960" t="s">
        <v>324</v>
      </c>
      <c r="K290" s="960"/>
      <c r="L290" s="123"/>
      <c r="M290" s="123"/>
    </row>
    <row r="291" spans="1:26" ht="13.8" thickBot="1" x14ac:dyDescent="0.3">
      <c r="B291" s="121"/>
      <c r="C291" s="121"/>
      <c r="D291" s="121"/>
      <c r="E291" s="121"/>
      <c r="F291" s="121"/>
      <c r="G291" s="121"/>
      <c r="H291" s="122"/>
      <c r="I291" s="122"/>
      <c r="J291" s="123"/>
      <c r="K291" s="123"/>
      <c r="L291" s="123"/>
      <c r="M291" s="123"/>
    </row>
    <row r="292" spans="1:26" ht="13.8" thickBot="1" x14ac:dyDescent="0.3">
      <c r="B292" s="121"/>
      <c r="C292" s="121" t="s">
        <v>509</v>
      </c>
      <c r="D292" s="123"/>
      <c r="E292" s="121"/>
      <c r="F292" s="118">
        <v>230</v>
      </c>
      <c r="G292" s="121" t="s">
        <v>21</v>
      </c>
      <c r="H292" s="99">
        <v>1.53</v>
      </c>
      <c r="I292" s="122" t="s">
        <v>6</v>
      </c>
      <c r="J292" s="124">
        <f>F292*H292</f>
        <v>351.90000000000003</v>
      </c>
      <c r="K292" s="121" t="s">
        <v>14</v>
      </c>
      <c r="L292" s="123"/>
      <c r="M292" s="123"/>
    </row>
    <row r="293" spans="1:26" ht="13.8" thickBot="1" x14ac:dyDescent="0.3">
      <c r="B293" s="121"/>
      <c r="C293" s="121" t="s">
        <v>280</v>
      </c>
      <c r="D293" s="123"/>
      <c r="E293" s="121"/>
      <c r="F293" s="118"/>
      <c r="G293" s="121" t="s">
        <v>21</v>
      </c>
      <c r="H293" s="99"/>
      <c r="I293" s="122" t="s">
        <v>6</v>
      </c>
      <c r="J293" s="124">
        <f t="shared" ref="J293:J295" si="28">F293*H293</f>
        <v>0</v>
      </c>
      <c r="K293" s="121" t="s">
        <v>14</v>
      </c>
      <c r="L293" s="123"/>
      <c r="M293" s="123"/>
    </row>
    <row r="294" spans="1:26" ht="13.8" thickBot="1" x14ac:dyDescent="0.3">
      <c r="B294" s="121"/>
      <c r="C294" s="121" t="s">
        <v>280</v>
      </c>
      <c r="D294" s="123"/>
      <c r="E294" s="121"/>
      <c r="F294" s="96"/>
      <c r="G294" s="121" t="s">
        <v>21</v>
      </c>
      <c r="H294" s="99"/>
      <c r="I294" s="122" t="s">
        <v>6</v>
      </c>
      <c r="J294" s="124">
        <f t="shared" si="28"/>
        <v>0</v>
      </c>
      <c r="K294" s="121" t="s">
        <v>14</v>
      </c>
      <c r="L294" s="123"/>
      <c r="M294" s="123"/>
    </row>
    <row r="295" spans="1:26" ht="13.8" thickBot="1" x14ac:dyDescent="0.3">
      <c r="B295" s="121"/>
      <c r="C295" s="121" t="s">
        <v>280</v>
      </c>
      <c r="D295" s="123"/>
      <c r="E295" s="121"/>
      <c r="F295" s="96"/>
      <c r="G295" s="121" t="s">
        <v>21</v>
      </c>
      <c r="H295" s="99"/>
      <c r="I295" s="122" t="s">
        <v>6</v>
      </c>
      <c r="J295" s="124">
        <f t="shared" si="28"/>
        <v>0</v>
      </c>
      <c r="K295" s="121" t="s">
        <v>14</v>
      </c>
      <c r="L295" s="123"/>
      <c r="M295" s="123"/>
    </row>
    <row r="296" spans="1:26" s="8" customFormat="1" x14ac:dyDescent="0.25">
      <c r="A296" s="427"/>
      <c r="B296" s="270"/>
      <c r="C296" s="270" t="s">
        <v>196</v>
      </c>
      <c r="D296" s="270"/>
      <c r="E296" s="270"/>
      <c r="F296" s="270"/>
      <c r="G296" s="270"/>
      <c r="H296" s="270"/>
      <c r="I296" s="271"/>
      <c r="J296" s="272">
        <f>SUM(J292:J295)</f>
        <v>351.90000000000003</v>
      </c>
      <c r="K296" s="270" t="s">
        <v>14</v>
      </c>
      <c r="L296" s="270"/>
      <c r="M296" s="270"/>
      <c r="N296"/>
      <c r="O296"/>
      <c r="P296"/>
      <c r="Q296"/>
      <c r="R296"/>
      <c r="S296"/>
      <c r="T296"/>
      <c r="U296"/>
      <c r="Y296"/>
      <c r="Z296"/>
    </row>
    <row r="297" spans="1:26" x14ac:dyDescent="0.25">
      <c r="B297" s="121"/>
      <c r="C297" s="121"/>
      <c r="D297" s="121"/>
      <c r="E297" s="121"/>
      <c r="F297" s="121"/>
      <c r="G297" s="121"/>
      <c r="H297" s="121"/>
      <c r="I297" s="122"/>
      <c r="J297" s="124"/>
      <c r="K297" s="121"/>
      <c r="L297" s="123"/>
      <c r="M297" s="123"/>
      <c r="N297" s="8"/>
      <c r="O297" s="8"/>
      <c r="P297" s="8"/>
      <c r="Q297" s="8"/>
      <c r="R297" s="8"/>
      <c r="S297" s="8"/>
      <c r="T297" s="8"/>
      <c r="U297" s="8"/>
      <c r="Y297" s="8"/>
      <c r="Z297" s="8"/>
    </row>
    <row r="298" spans="1:26" ht="39" customHeight="1" x14ac:dyDescent="0.25"/>
    <row r="299" spans="1:26" ht="15.6" x14ac:dyDescent="0.3">
      <c r="B299" s="109" t="s">
        <v>479</v>
      </c>
      <c r="C299" s="72"/>
      <c r="D299" s="72"/>
      <c r="E299" s="72"/>
      <c r="F299" s="957" t="s">
        <v>159</v>
      </c>
      <c r="G299" s="957"/>
      <c r="H299" s="958" t="s">
        <v>158</v>
      </c>
      <c r="I299" s="958"/>
      <c r="J299" s="957" t="s">
        <v>324</v>
      </c>
      <c r="K299" s="957"/>
      <c r="L299" s="79"/>
      <c r="M299" s="79"/>
    </row>
    <row r="300" spans="1:26" ht="15.6" x14ac:dyDescent="0.3">
      <c r="B300" s="109"/>
      <c r="C300" s="72"/>
      <c r="D300" s="462" t="s">
        <v>364</v>
      </c>
      <c r="E300" s="72"/>
      <c r="F300" s="128"/>
      <c r="G300" s="128"/>
      <c r="H300" s="127"/>
      <c r="I300" s="127"/>
      <c r="J300" s="128"/>
      <c r="K300" s="128"/>
      <c r="L300" s="79"/>
      <c r="M300" s="79"/>
    </row>
    <row r="301" spans="1:26" ht="13.8" thickBot="1" x14ac:dyDescent="0.3">
      <c r="B301" s="214" t="s">
        <v>357</v>
      </c>
      <c r="C301" s="72"/>
      <c r="D301" s="72"/>
      <c r="E301" s="72"/>
      <c r="F301" s="74"/>
      <c r="G301" s="74"/>
      <c r="H301" s="73"/>
      <c r="I301" s="73"/>
      <c r="J301" s="79"/>
      <c r="K301" s="79"/>
      <c r="L301" s="79"/>
      <c r="M301" s="79"/>
    </row>
    <row r="302" spans="1:26" ht="13.8" thickBot="1" x14ac:dyDescent="0.3">
      <c r="B302" s="72"/>
      <c r="C302" s="72" t="s">
        <v>326</v>
      </c>
      <c r="D302" s="79"/>
      <c r="E302" s="72"/>
      <c r="F302" s="119"/>
      <c r="G302" s="74" t="s">
        <v>20</v>
      </c>
      <c r="H302" s="99"/>
      <c r="I302" s="73" t="s">
        <v>5</v>
      </c>
      <c r="J302" s="79">
        <f>F302*H302</f>
        <v>0</v>
      </c>
      <c r="K302" s="72" t="s">
        <v>14</v>
      </c>
      <c r="L302" s="79"/>
      <c r="M302" s="79"/>
    </row>
    <row r="303" spans="1:26" ht="13.8" thickBot="1" x14ac:dyDescent="0.3">
      <c r="B303" s="72"/>
      <c r="C303" s="72" t="s">
        <v>326</v>
      </c>
      <c r="D303" s="72"/>
      <c r="E303" s="72"/>
      <c r="F303" s="119"/>
      <c r="G303" s="74" t="s">
        <v>20</v>
      </c>
      <c r="H303" s="99"/>
      <c r="I303" s="73" t="s">
        <v>5</v>
      </c>
      <c r="J303" s="79">
        <f t="shared" ref="J303:J309" si="29">F303*H303</f>
        <v>0</v>
      </c>
      <c r="K303" s="72" t="s">
        <v>14</v>
      </c>
      <c r="L303" s="79"/>
      <c r="M303" s="79"/>
    </row>
    <row r="304" spans="1:26" ht="13.8" thickBot="1" x14ac:dyDescent="0.3">
      <c r="B304" s="72"/>
      <c r="C304" s="72" t="s">
        <v>326</v>
      </c>
      <c r="D304" s="72"/>
      <c r="E304" s="72"/>
      <c r="F304" s="119"/>
      <c r="G304" s="74" t="s">
        <v>20</v>
      </c>
      <c r="H304" s="99"/>
      <c r="I304" s="73" t="s">
        <v>5</v>
      </c>
      <c r="J304" s="79">
        <f t="shared" si="29"/>
        <v>0</v>
      </c>
      <c r="K304" s="72" t="s">
        <v>14</v>
      </c>
      <c r="L304" s="79"/>
      <c r="M304" s="79"/>
    </row>
    <row r="305" spans="1:26" x14ac:dyDescent="0.25">
      <c r="B305" s="72"/>
      <c r="C305" s="72"/>
      <c r="D305" s="72"/>
      <c r="E305" s="72"/>
      <c r="F305" s="212"/>
      <c r="G305" s="74"/>
      <c r="H305" s="213"/>
      <c r="I305" s="73"/>
      <c r="J305" s="79"/>
      <c r="K305" s="72"/>
      <c r="L305" s="79"/>
      <c r="M305" s="79"/>
    </row>
    <row r="306" spans="1:26" ht="13.8" thickBot="1" x14ac:dyDescent="0.3">
      <c r="B306" s="214" t="s">
        <v>358</v>
      </c>
      <c r="C306" s="72"/>
      <c r="D306" s="72"/>
      <c r="E306" s="72"/>
      <c r="F306" s="212"/>
      <c r="G306" s="74"/>
      <c r="H306" s="213"/>
      <c r="I306" s="73"/>
      <c r="J306" s="79"/>
      <c r="K306" s="72"/>
      <c r="L306" s="79"/>
      <c r="M306" s="79"/>
    </row>
    <row r="307" spans="1:26" ht="13.8" thickBot="1" x14ac:dyDescent="0.3">
      <c r="B307" s="72"/>
      <c r="C307" s="72" t="s">
        <v>326</v>
      </c>
      <c r="D307" s="72"/>
      <c r="E307" s="72"/>
      <c r="F307" s="119"/>
      <c r="G307" s="74"/>
      <c r="H307" s="119"/>
      <c r="I307" s="73"/>
      <c r="J307" s="79">
        <f t="shared" si="29"/>
        <v>0</v>
      </c>
      <c r="K307" s="72" t="s">
        <v>14</v>
      </c>
      <c r="L307" s="79"/>
      <c r="M307" s="79"/>
    </row>
    <row r="308" spans="1:26" ht="13.8" thickBot="1" x14ac:dyDescent="0.3">
      <c r="B308" s="72"/>
      <c r="C308" s="72" t="s">
        <v>326</v>
      </c>
      <c r="D308" s="72"/>
      <c r="E308" s="72"/>
      <c r="F308" s="119"/>
      <c r="G308" s="74"/>
      <c r="H308" s="119"/>
      <c r="I308" s="73"/>
      <c r="J308" s="79">
        <f t="shared" si="29"/>
        <v>0</v>
      </c>
      <c r="K308" s="72" t="s">
        <v>14</v>
      </c>
      <c r="L308" s="79"/>
      <c r="M308" s="79"/>
    </row>
    <row r="309" spans="1:26" ht="13.8" thickBot="1" x14ac:dyDescent="0.3">
      <c r="B309" s="72"/>
      <c r="C309" s="72" t="s">
        <v>326</v>
      </c>
      <c r="D309" s="72"/>
      <c r="E309" s="72"/>
      <c r="F309" s="119"/>
      <c r="G309" s="74"/>
      <c r="H309" s="119"/>
      <c r="I309" s="73"/>
      <c r="J309" s="79">
        <f t="shared" si="29"/>
        <v>0</v>
      </c>
      <c r="K309" s="72" t="s">
        <v>14</v>
      </c>
      <c r="L309" s="79"/>
      <c r="M309" s="79"/>
    </row>
    <row r="310" spans="1:26" s="8" customFormat="1" x14ac:dyDescent="0.25">
      <c r="A310" s="427"/>
      <c r="B310" s="241"/>
      <c r="C310" s="241" t="s">
        <v>196</v>
      </c>
      <c r="D310" s="241"/>
      <c r="E310" s="241"/>
      <c r="F310" s="273"/>
      <c r="G310" s="242"/>
      <c r="H310" s="273"/>
      <c r="I310" s="243"/>
      <c r="J310" s="241">
        <f>SUM(J302:J309)</f>
        <v>0</v>
      </c>
      <c r="K310" s="241" t="s">
        <v>14</v>
      </c>
      <c r="L310" s="241"/>
      <c r="M310" s="241"/>
      <c r="N310"/>
      <c r="O310"/>
      <c r="P310"/>
      <c r="Q310"/>
      <c r="R310"/>
      <c r="S310"/>
      <c r="T310"/>
      <c r="U310"/>
      <c r="Y310"/>
      <c r="Z310"/>
    </row>
    <row r="311" spans="1:26" x14ac:dyDescent="0.25">
      <c r="B311" s="72"/>
      <c r="C311" s="72"/>
      <c r="D311" s="72"/>
      <c r="E311" s="72"/>
      <c r="F311" s="74"/>
      <c r="G311" s="74"/>
      <c r="H311" s="73"/>
      <c r="I311" s="73"/>
      <c r="J311" s="79"/>
      <c r="K311" s="72"/>
      <c r="L311" s="79"/>
      <c r="M311" s="79"/>
      <c r="N311" s="8"/>
      <c r="O311" s="8"/>
      <c r="P311" s="8"/>
      <c r="Q311" s="8"/>
      <c r="R311" s="8"/>
      <c r="S311" s="8"/>
      <c r="T311" s="8"/>
      <c r="U311" s="8"/>
      <c r="Y311" s="8"/>
      <c r="Z311" s="8"/>
    </row>
    <row r="312" spans="1:26" ht="36" customHeight="1" x14ac:dyDescent="0.25">
      <c r="B312" s="535"/>
      <c r="C312" s="535"/>
      <c r="D312" s="535"/>
      <c r="E312" s="535"/>
      <c r="F312" s="539"/>
      <c r="G312" s="539"/>
      <c r="H312" s="537"/>
      <c r="I312" s="537"/>
      <c r="J312" s="534"/>
      <c r="K312" s="535"/>
      <c r="L312" s="534"/>
      <c r="M312" s="534"/>
    </row>
    <row r="313" spans="1:26" s="5" customFormat="1" ht="30" customHeight="1" x14ac:dyDescent="0.3">
      <c r="A313" s="426"/>
      <c r="B313" s="650" t="s">
        <v>437</v>
      </c>
      <c r="C313" s="651"/>
      <c r="D313" s="640"/>
      <c r="E313" s="640"/>
      <c r="F313" s="975" t="s">
        <v>159</v>
      </c>
      <c r="G313" s="975"/>
      <c r="H313" s="975" t="s">
        <v>158</v>
      </c>
      <c r="I313" s="975"/>
      <c r="J313" s="975" t="s">
        <v>324</v>
      </c>
      <c r="K313" s="975"/>
      <c r="L313" s="129"/>
      <c r="M313" s="129"/>
      <c r="N313"/>
      <c r="O313"/>
      <c r="P313"/>
      <c r="Q313"/>
      <c r="R313"/>
      <c r="S313"/>
      <c r="T313"/>
      <c r="U313"/>
      <c r="Y313"/>
      <c r="Z313"/>
    </row>
    <row r="314" spans="1:26" s="5" customFormat="1" ht="13.8" thickBot="1" x14ac:dyDescent="0.3">
      <c r="A314" s="426"/>
      <c r="B314" s="651"/>
      <c r="C314" s="651"/>
      <c r="D314" s="640"/>
      <c r="E314" s="640"/>
      <c r="F314" s="640"/>
      <c r="G314" s="640"/>
      <c r="H314" s="641"/>
      <c r="I314" s="641"/>
      <c r="J314" s="129"/>
      <c r="K314" s="129"/>
      <c r="L314" s="129"/>
      <c r="M314" s="129"/>
    </row>
    <row r="315" spans="1:26" s="5" customFormat="1" ht="13.8" thickBot="1" x14ac:dyDescent="0.3">
      <c r="A315" s="426"/>
      <c r="B315" s="651"/>
      <c r="C315" s="651" t="s">
        <v>438</v>
      </c>
      <c r="D315" s="129"/>
      <c r="E315" s="640"/>
      <c r="F315" s="642">
        <v>5</v>
      </c>
      <c r="G315" s="640" t="s">
        <v>439</v>
      </c>
      <c r="H315" s="643">
        <v>160</v>
      </c>
      <c r="I315" s="641" t="s">
        <v>440</v>
      </c>
      <c r="J315" s="644">
        <f t="shared" ref="J315:J317" si="30">F315*H315</f>
        <v>800</v>
      </c>
      <c r="K315" s="640" t="s">
        <v>14</v>
      </c>
      <c r="L315" s="129"/>
      <c r="M315" s="129"/>
    </row>
    <row r="316" spans="1:26" s="5" customFormat="1" ht="13.8" thickBot="1" x14ac:dyDescent="0.3">
      <c r="A316" s="426"/>
      <c r="B316" s="651"/>
      <c r="C316" s="651" t="s">
        <v>510</v>
      </c>
      <c r="D316" s="640"/>
      <c r="E316" s="640"/>
      <c r="F316" s="642"/>
      <c r="G316" s="640" t="s">
        <v>0</v>
      </c>
      <c r="H316" s="643"/>
      <c r="I316" s="641" t="s">
        <v>14</v>
      </c>
      <c r="J316" s="644">
        <f t="shared" si="30"/>
        <v>0</v>
      </c>
      <c r="K316" s="640" t="s">
        <v>14</v>
      </c>
      <c r="L316" s="129"/>
      <c r="M316" s="129"/>
    </row>
    <row r="317" spans="1:26" s="5" customFormat="1" ht="13.8" thickBot="1" x14ac:dyDescent="0.3">
      <c r="A317" s="426"/>
      <c r="B317" s="651"/>
      <c r="C317" s="651" t="s">
        <v>510</v>
      </c>
      <c r="D317" s="640"/>
      <c r="E317" s="640"/>
      <c r="F317" s="642"/>
      <c r="G317" s="640" t="s">
        <v>0</v>
      </c>
      <c r="H317" s="643"/>
      <c r="I317" s="641" t="s">
        <v>14</v>
      </c>
      <c r="J317" s="644">
        <f t="shared" si="30"/>
        <v>0</v>
      </c>
      <c r="K317" s="640" t="s">
        <v>14</v>
      </c>
      <c r="L317" s="129"/>
      <c r="M317" s="129"/>
    </row>
    <row r="318" spans="1:26" s="5" customFormat="1" x14ac:dyDescent="0.25">
      <c r="A318" s="426"/>
      <c r="B318" s="658"/>
      <c r="C318" s="658" t="s">
        <v>196</v>
      </c>
      <c r="D318" s="369"/>
      <c r="E318" s="369"/>
      <c r="F318" s="645"/>
      <c r="G318" s="369"/>
      <c r="H318" s="646"/>
      <c r="I318" s="647"/>
      <c r="J318" s="648">
        <f>SUM(J315:J317)</f>
        <v>800</v>
      </c>
      <c r="K318" s="369" t="s">
        <v>14</v>
      </c>
      <c r="L318" s="369"/>
      <c r="M318" s="369"/>
    </row>
    <row r="319" spans="1:26" s="5" customFormat="1" x14ac:dyDescent="0.25">
      <c r="A319" s="426"/>
      <c r="B319" s="640"/>
      <c r="C319" s="640"/>
      <c r="D319" s="640"/>
      <c r="E319" s="640"/>
      <c r="F319" s="640"/>
      <c r="G319" s="640"/>
      <c r="H319" s="641"/>
      <c r="I319" s="641"/>
      <c r="J319" s="644"/>
      <c r="K319" s="640"/>
      <c r="L319" s="129"/>
      <c r="M319" s="129"/>
    </row>
    <row r="320" spans="1:26" s="5" customFormat="1" ht="30" customHeight="1" x14ac:dyDescent="0.25">
      <c r="A320" s="426"/>
      <c r="B320" s="535"/>
      <c r="C320" s="535"/>
      <c r="D320" s="535"/>
      <c r="E320" s="535"/>
      <c r="F320" s="539"/>
      <c r="G320" s="539"/>
      <c r="H320" s="537"/>
      <c r="I320" s="537"/>
      <c r="J320" s="534"/>
      <c r="K320" s="535"/>
      <c r="L320" s="534"/>
      <c r="M320" s="534"/>
    </row>
    <row r="321" spans="1:26" ht="40.950000000000003" customHeight="1" x14ac:dyDescent="0.3">
      <c r="A321" s="432"/>
      <c r="B321" s="110" t="s">
        <v>40</v>
      </c>
      <c r="C321" s="82"/>
      <c r="D321" s="82"/>
      <c r="E321" s="82"/>
      <c r="F321" s="965" t="s">
        <v>159</v>
      </c>
      <c r="G321" s="965"/>
      <c r="H321" s="965" t="s">
        <v>158</v>
      </c>
      <c r="I321" s="965"/>
      <c r="J321" s="965" t="s">
        <v>324</v>
      </c>
      <c r="K321" s="965"/>
      <c r="L321" s="84"/>
      <c r="M321" s="84"/>
      <c r="N321" s="5"/>
      <c r="O321" s="5"/>
      <c r="P321" s="5"/>
      <c r="Q321" s="5"/>
      <c r="R321" s="5"/>
      <c r="S321" s="5"/>
      <c r="T321" s="5"/>
      <c r="U321" s="5"/>
      <c r="Y321" s="5"/>
      <c r="Z321" s="5"/>
    </row>
    <row r="322" spans="1:26" ht="13.8" thickBot="1" x14ac:dyDescent="0.3">
      <c r="A322" s="432"/>
      <c r="B322" s="82"/>
      <c r="C322" s="82"/>
      <c r="D322" s="82"/>
      <c r="E322" s="82"/>
      <c r="F322" s="82"/>
      <c r="G322" s="82"/>
      <c r="H322" s="83"/>
      <c r="I322" s="83"/>
      <c r="J322" s="84"/>
      <c r="K322" s="84"/>
      <c r="L322" s="84"/>
      <c r="M322" s="84"/>
      <c r="N322" s="5"/>
    </row>
    <row r="323" spans="1:26" ht="13.8" thickBot="1" x14ac:dyDescent="0.3">
      <c r="A323" s="432"/>
      <c r="B323" s="82"/>
      <c r="C323" s="82" t="s">
        <v>554</v>
      </c>
      <c r="D323" s="82"/>
      <c r="E323" s="82"/>
      <c r="F323" s="463">
        <f>IF(S10&gt;0,S10*'Gårdens info'!$G$27/1,0)</f>
        <v>900</v>
      </c>
      <c r="G323" s="82" t="s">
        <v>153</v>
      </c>
      <c r="H323" s="99"/>
      <c r="I323" s="83" t="s">
        <v>152</v>
      </c>
      <c r="J323" s="85">
        <f>F323*H323</f>
        <v>0</v>
      </c>
      <c r="K323" s="82" t="s">
        <v>14</v>
      </c>
      <c r="L323" s="84"/>
      <c r="M323" s="84"/>
      <c r="N323" s="5"/>
    </row>
    <row r="324" spans="1:26" ht="13.8" thickBot="1" x14ac:dyDescent="0.3">
      <c r="A324" s="432"/>
      <c r="B324" s="82"/>
      <c r="C324" s="82" t="s">
        <v>443</v>
      </c>
      <c r="D324" s="84"/>
      <c r="E324" s="82"/>
      <c r="F324" s="463">
        <f>IF(S11&gt;0,S11*'Gårdens info'!$G$27/5,0)</f>
        <v>0</v>
      </c>
      <c r="G324" s="82" t="s">
        <v>153</v>
      </c>
      <c r="H324" s="99">
        <v>0.1</v>
      </c>
      <c r="I324" s="83" t="s">
        <v>152</v>
      </c>
      <c r="J324" s="85">
        <f>F324*H324</f>
        <v>0</v>
      </c>
      <c r="K324" s="82" t="s">
        <v>14</v>
      </c>
      <c r="L324" s="84"/>
      <c r="M324" s="84"/>
      <c r="N324" s="5"/>
    </row>
    <row r="325" spans="1:26" ht="13.8" thickBot="1" x14ac:dyDescent="0.3">
      <c r="A325" s="432"/>
      <c r="B325" s="82"/>
      <c r="C325" s="82" t="s">
        <v>444</v>
      </c>
      <c r="D325" s="84"/>
      <c r="E325" s="82"/>
      <c r="F325" s="463">
        <f>IF(S12&gt;0,S12*'Gårdens info'!$G$27/3,0)</f>
        <v>1050</v>
      </c>
      <c r="G325" s="82" t="s">
        <v>153</v>
      </c>
      <c r="H325" s="99">
        <v>0.1</v>
      </c>
      <c r="I325" s="83" t="s">
        <v>152</v>
      </c>
      <c r="J325" s="85">
        <f t="shared" ref="J325:J330" si="31">F325*H325</f>
        <v>105</v>
      </c>
      <c r="K325" s="82" t="s">
        <v>14</v>
      </c>
      <c r="L325" s="84"/>
      <c r="M325" s="84"/>
      <c r="N325" s="5"/>
    </row>
    <row r="326" spans="1:26" ht="13.8" thickBot="1" x14ac:dyDescent="0.3">
      <c r="A326" s="432"/>
      <c r="B326" s="82"/>
      <c r="C326" s="82" t="s">
        <v>445</v>
      </c>
      <c r="D326" s="84"/>
      <c r="E326" s="82"/>
      <c r="F326" s="463">
        <f>IF(S13&gt;0,S13*'Gårdens info'!$G$27/0.5,0)</f>
        <v>900</v>
      </c>
      <c r="G326" s="82" t="s">
        <v>153</v>
      </c>
      <c r="H326" s="99">
        <v>0.05</v>
      </c>
      <c r="I326" s="83" t="s">
        <v>152</v>
      </c>
      <c r="J326" s="85">
        <f t="shared" si="31"/>
        <v>45</v>
      </c>
      <c r="K326" s="82" t="s">
        <v>14</v>
      </c>
      <c r="L326" s="84"/>
      <c r="M326" s="84"/>
      <c r="N326" s="5"/>
    </row>
    <row r="327" spans="1:26" ht="13.8" thickBot="1" x14ac:dyDescent="0.3">
      <c r="A327" s="432"/>
      <c r="B327" s="82"/>
      <c r="C327" s="82" t="s">
        <v>446</v>
      </c>
      <c r="D327" s="84"/>
      <c r="E327" s="82"/>
      <c r="F327" s="463">
        <f>IF(S14&gt;0,S14*'Gårdens info'!$G$27/0.25,0)</f>
        <v>0</v>
      </c>
      <c r="G327" s="82" t="s">
        <v>153</v>
      </c>
      <c r="H327" s="99">
        <v>0.04</v>
      </c>
      <c r="I327" s="83" t="s">
        <v>152</v>
      </c>
      <c r="J327" s="85">
        <f t="shared" si="31"/>
        <v>0</v>
      </c>
      <c r="K327" s="82" t="s">
        <v>14</v>
      </c>
      <c r="L327" s="84"/>
      <c r="M327" s="84"/>
      <c r="N327" s="5"/>
    </row>
    <row r="328" spans="1:26" ht="13.8" thickBot="1" x14ac:dyDescent="0.3">
      <c r="A328" s="432"/>
      <c r="B328" s="82"/>
      <c r="C328" s="96" t="s">
        <v>511</v>
      </c>
      <c r="D328" s="96"/>
      <c r="E328" s="82" t="s">
        <v>21</v>
      </c>
      <c r="F328" s="463">
        <f>IF(S15&gt;0,S15*'Gårdens info'!$G$27/D328,0)</f>
        <v>0</v>
      </c>
      <c r="G328" s="82" t="s">
        <v>153</v>
      </c>
      <c r="H328" s="99"/>
      <c r="I328" s="83" t="s">
        <v>152</v>
      </c>
      <c r="J328" s="85">
        <f t="shared" si="31"/>
        <v>0</v>
      </c>
      <c r="K328" s="82" t="s">
        <v>14</v>
      </c>
      <c r="L328" s="84"/>
      <c r="M328" s="84"/>
    </row>
    <row r="329" spans="1:26" ht="13.8" thickBot="1" x14ac:dyDescent="0.3">
      <c r="A329" s="432"/>
      <c r="B329" s="82"/>
      <c r="C329" s="96" t="s">
        <v>511</v>
      </c>
      <c r="D329" s="96"/>
      <c r="E329" s="82" t="s">
        <v>21</v>
      </c>
      <c r="F329" s="463">
        <f>IF(S16&gt;0,S16*'Gårdens info'!$G$27/D329,0)</f>
        <v>0</v>
      </c>
      <c r="G329" s="82" t="s">
        <v>153</v>
      </c>
      <c r="H329" s="99"/>
      <c r="I329" s="83" t="s">
        <v>152</v>
      </c>
      <c r="J329" s="85">
        <f t="shared" ref="J329" si="32">F329*H329</f>
        <v>0</v>
      </c>
      <c r="K329" s="82" t="s">
        <v>14</v>
      </c>
      <c r="L329" s="84"/>
      <c r="M329" s="84"/>
    </row>
    <row r="330" spans="1:26" ht="13.8" thickBot="1" x14ac:dyDescent="0.3">
      <c r="B330" s="82"/>
      <c r="C330" s="96" t="s">
        <v>511</v>
      </c>
      <c r="D330" s="96"/>
      <c r="E330" s="82" t="s">
        <v>21</v>
      </c>
      <c r="F330" s="463">
        <f>IF(S17&gt;0,S17*'Gårdens info'!$G$27/D330,0)</f>
        <v>0</v>
      </c>
      <c r="G330" s="82" t="s">
        <v>153</v>
      </c>
      <c r="H330" s="99"/>
      <c r="I330" s="83" t="s">
        <v>152</v>
      </c>
      <c r="J330" s="85">
        <f t="shared" si="31"/>
        <v>0</v>
      </c>
      <c r="K330" s="82" t="s">
        <v>14</v>
      </c>
      <c r="L330" s="84"/>
      <c r="M330" s="84"/>
    </row>
    <row r="331" spans="1:26" x14ac:dyDescent="0.25">
      <c r="B331" s="245"/>
      <c r="C331" s="245" t="s">
        <v>196</v>
      </c>
      <c r="D331" s="245"/>
      <c r="E331" s="245"/>
      <c r="F331" s="246"/>
      <c r="G331" s="245"/>
      <c r="H331" s="247"/>
      <c r="I331" s="248"/>
      <c r="J331" s="249">
        <f>SUM(J324:J330)</f>
        <v>150</v>
      </c>
      <c r="K331" s="245" t="s">
        <v>14</v>
      </c>
      <c r="L331" s="245"/>
      <c r="M331" s="245"/>
    </row>
    <row r="332" spans="1:26" s="8" customFormat="1" x14ac:dyDescent="0.25">
      <c r="A332" s="427"/>
      <c r="B332" s="82"/>
      <c r="C332" s="82"/>
      <c r="D332" s="82"/>
      <c r="E332" s="82"/>
      <c r="F332" s="82"/>
      <c r="G332" s="82"/>
      <c r="H332" s="83"/>
      <c r="I332" s="83"/>
      <c r="J332" s="85"/>
      <c r="K332" s="82"/>
      <c r="L332" s="84"/>
      <c r="M332" s="84"/>
      <c r="N332"/>
      <c r="O332"/>
      <c r="P332"/>
      <c r="Q332"/>
      <c r="R332"/>
      <c r="S332"/>
      <c r="T332"/>
      <c r="U332"/>
      <c r="Y332"/>
      <c r="Z332"/>
    </row>
    <row r="333" spans="1:26" x14ac:dyDescent="0.25">
      <c r="B333" s="534"/>
      <c r="C333" s="534"/>
      <c r="D333" s="534"/>
      <c r="E333" s="534"/>
      <c r="F333" s="534"/>
      <c r="G333" s="534"/>
      <c r="H333" s="534"/>
      <c r="I333" s="534"/>
      <c r="J333" s="534"/>
      <c r="K333" s="534"/>
      <c r="L333" s="534"/>
      <c r="M333" s="534"/>
      <c r="N333" s="8"/>
      <c r="O333" s="8"/>
      <c r="P333" s="8"/>
      <c r="Q333" s="8"/>
      <c r="R333" s="8"/>
      <c r="S333" s="8"/>
      <c r="T333" s="8"/>
      <c r="U333" s="8"/>
      <c r="Y333" s="8"/>
      <c r="Z333" s="8"/>
    </row>
    <row r="334" spans="1:26" ht="30" customHeight="1" x14ac:dyDescent="0.3">
      <c r="B334" s="111" t="s">
        <v>482</v>
      </c>
      <c r="C334" s="87"/>
      <c r="D334" s="87"/>
      <c r="E334" s="87"/>
      <c r="F334" s="966" t="s">
        <v>159</v>
      </c>
      <c r="G334" s="966"/>
      <c r="H334" s="966" t="s">
        <v>158</v>
      </c>
      <c r="I334" s="966"/>
      <c r="J334" s="966" t="s">
        <v>324</v>
      </c>
      <c r="K334" s="966"/>
      <c r="L334" s="89"/>
      <c r="M334" s="89"/>
    </row>
    <row r="335" spans="1:26" ht="13.8" thickBot="1" x14ac:dyDescent="0.3">
      <c r="B335" s="87"/>
      <c r="C335" s="87"/>
      <c r="D335" s="87"/>
      <c r="E335" s="87"/>
      <c r="F335" s="87"/>
      <c r="G335" s="87"/>
      <c r="H335" s="88"/>
      <c r="I335" s="88"/>
      <c r="J335" s="89"/>
      <c r="K335" s="89"/>
      <c r="L335" s="89"/>
      <c r="M335" s="89"/>
    </row>
    <row r="336" spans="1:26" ht="13.8" thickBot="1" x14ac:dyDescent="0.3">
      <c r="B336" s="87"/>
      <c r="C336" s="87" t="s">
        <v>483</v>
      </c>
      <c r="D336" s="89"/>
      <c r="E336" s="87"/>
      <c r="F336" s="96">
        <f>'Gårdens info'!G27*'Gårdens info'!D27</f>
        <v>4500</v>
      </c>
      <c r="G336" s="87" t="s">
        <v>21</v>
      </c>
      <c r="H336" s="99">
        <v>0.5</v>
      </c>
      <c r="I336" s="88" t="s">
        <v>6</v>
      </c>
      <c r="J336" s="90">
        <f t="shared" ref="J336:J338" si="33">F336*H336</f>
        <v>2250</v>
      </c>
      <c r="K336" s="87" t="s">
        <v>14</v>
      </c>
      <c r="L336" s="89"/>
      <c r="M336" s="89"/>
    </row>
    <row r="337" spans="1:26" ht="13.8" thickBot="1" x14ac:dyDescent="0.3">
      <c r="B337" s="87"/>
      <c r="C337" s="87" t="s">
        <v>510</v>
      </c>
      <c r="D337" s="87"/>
      <c r="E337" s="87"/>
      <c r="F337" s="96"/>
      <c r="G337" s="87" t="s">
        <v>21</v>
      </c>
      <c r="H337" s="99"/>
      <c r="I337" s="88" t="s">
        <v>6</v>
      </c>
      <c r="J337" s="90">
        <f t="shared" si="33"/>
        <v>0</v>
      </c>
      <c r="K337" s="87" t="s">
        <v>14</v>
      </c>
      <c r="L337" s="89"/>
      <c r="M337" s="89"/>
    </row>
    <row r="338" spans="1:26" ht="13.8" thickBot="1" x14ac:dyDescent="0.3">
      <c r="B338" s="87"/>
      <c r="C338" s="87" t="s">
        <v>510</v>
      </c>
      <c r="D338" s="87"/>
      <c r="E338" s="87"/>
      <c r="F338" s="96"/>
      <c r="G338" s="87" t="s">
        <v>21</v>
      </c>
      <c r="H338" s="99"/>
      <c r="I338" s="88" t="s">
        <v>6</v>
      </c>
      <c r="J338" s="90">
        <f t="shared" si="33"/>
        <v>0</v>
      </c>
      <c r="K338" s="87" t="s">
        <v>14</v>
      </c>
      <c r="L338" s="89"/>
      <c r="M338" s="89"/>
    </row>
    <row r="339" spans="1:26" x14ac:dyDescent="0.25">
      <c r="B339" s="250"/>
      <c r="C339" s="250" t="s">
        <v>196</v>
      </c>
      <c r="D339" s="250"/>
      <c r="E339" s="250"/>
      <c r="F339" s="251"/>
      <c r="G339" s="250"/>
      <c r="H339" s="252"/>
      <c r="I339" s="253"/>
      <c r="J339" s="254">
        <f>SUM(J336:J338)</f>
        <v>2250</v>
      </c>
      <c r="K339" s="250" t="s">
        <v>14</v>
      </c>
      <c r="L339" s="250"/>
      <c r="M339" s="250"/>
    </row>
    <row r="340" spans="1:26" s="8" customFormat="1" x14ac:dyDescent="0.25">
      <c r="A340" s="427"/>
      <c r="B340" s="87"/>
      <c r="C340" s="87"/>
      <c r="D340" s="87"/>
      <c r="E340" s="87"/>
      <c r="F340" s="87"/>
      <c r="G340" s="87"/>
      <c r="H340" s="88"/>
      <c r="I340" s="88"/>
      <c r="J340" s="90"/>
      <c r="K340" s="87"/>
      <c r="L340" s="89"/>
      <c r="M340" s="89"/>
      <c r="N340"/>
      <c r="O340"/>
      <c r="P340"/>
      <c r="Q340"/>
      <c r="R340"/>
      <c r="S340"/>
      <c r="T340"/>
      <c r="U340"/>
      <c r="Y340"/>
      <c r="Z340"/>
    </row>
    <row r="341" spans="1:26" x14ac:dyDescent="0.25">
      <c r="B341" s="534"/>
      <c r="C341" s="534"/>
      <c r="D341" s="534"/>
      <c r="E341" s="534"/>
      <c r="F341" s="534"/>
      <c r="G341" s="534"/>
      <c r="H341" s="534"/>
      <c r="I341" s="534"/>
      <c r="J341" s="534"/>
      <c r="K341" s="534"/>
      <c r="L341" s="534"/>
      <c r="M341" s="534"/>
      <c r="N341" s="8"/>
      <c r="O341" s="8"/>
      <c r="P341" s="8"/>
      <c r="Q341" s="8"/>
      <c r="R341" s="8"/>
      <c r="S341" s="8"/>
      <c r="T341" s="8"/>
      <c r="U341" s="8"/>
      <c r="Y341" s="8"/>
      <c r="Z341" s="8"/>
    </row>
    <row r="342" spans="1:26" ht="37.049999999999997" customHeight="1" x14ac:dyDescent="0.3">
      <c r="B342" s="219" t="s">
        <v>512</v>
      </c>
      <c r="C342" s="220"/>
      <c r="D342" s="220"/>
      <c r="E342" s="220"/>
      <c r="F342" s="964" t="s">
        <v>159</v>
      </c>
      <c r="G342" s="964"/>
      <c r="H342" s="964" t="s">
        <v>158</v>
      </c>
      <c r="I342" s="964"/>
      <c r="J342" s="964" t="s">
        <v>324</v>
      </c>
      <c r="K342" s="964"/>
      <c r="L342" s="222"/>
      <c r="M342" s="222"/>
    </row>
    <row r="343" spans="1:26" ht="13.8" thickBot="1" x14ac:dyDescent="0.3">
      <c r="B343" s="220"/>
      <c r="C343" s="220"/>
      <c r="D343" s="220"/>
      <c r="E343" s="220"/>
      <c r="F343" s="220"/>
      <c r="G343" s="220"/>
      <c r="H343" s="221"/>
      <c r="I343" s="221"/>
      <c r="J343" s="222"/>
      <c r="K343" s="222"/>
      <c r="L343" s="222"/>
      <c r="M343" s="222"/>
    </row>
    <row r="344" spans="1:26" ht="13.8" thickBot="1" x14ac:dyDescent="0.3">
      <c r="B344" s="220"/>
      <c r="C344" s="220" t="s">
        <v>294</v>
      </c>
      <c r="D344" s="222"/>
      <c r="E344" s="220"/>
      <c r="F344" s="96"/>
      <c r="G344" s="220" t="s">
        <v>0</v>
      </c>
      <c r="H344" s="99"/>
      <c r="I344" s="221" t="s">
        <v>14</v>
      </c>
      <c r="J344" s="223">
        <f t="shared" ref="J344:J346" si="34">F344*H344</f>
        <v>0</v>
      </c>
      <c r="K344" s="220" t="s">
        <v>14</v>
      </c>
      <c r="L344" s="222"/>
      <c r="M344" s="222"/>
    </row>
    <row r="345" spans="1:26" ht="13.8" thickBot="1" x14ac:dyDescent="0.3">
      <c r="B345" s="220"/>
      <c r="C345" s="220" t="s">
        <v>294</v>
      </c>
      <c r="D345" s="220"/>
      <c r="E345" s="220"/>
      <c r="F345" s="96"/>
      <c r="G345" s="220" t="s">
        <v>0</v>
      </c>
      <c r="H345" s="99"/>
      <c r="I345" s="221" t="s">
        <v>14</v>
      </c>
      <c r="J345" s="223">
        <f t="shared" si="34"/>
        <v>0</v>
      </c>
      <c r="K345" s="220" t="s">
        <v>14</v>
      </c>
      <c r="L345" s="222"/>
      <c r="M345" s="222"/>
    </row>
    <row r="346" spans="1:26" ht="13.8" thickBot="1" x14ac:dyDescent="0.3">
      <c r="B346" s="220"/>
      <c r="C346" s="220" t="s">
        <v>294</v>
      </c>
      <c r="D346" s="220"/>
      <c r="E346" s="220"/>
      <c r="F346" s="96"/>
      <c r="G346" s="220" t="s">
        <v>0</v>
      </c>
      <c r="H346" s="99"/>
      <c r="I346" s="221" t="s">
        <v>14</v>
      </c>
      <c r="J346" s="223">
        <f t="shared" si="34"/>
        <v>0</v>
      </c>
      <c r="K346" s="220" t="s">
        <v>14</v>
      </c>
      <c r="L346" s="222"/>
      <c r="M346" s="222"/>
    </row>
    <row r="347" spans="1:26" x14ac:dyDescent="0.25">
      <c r="B347" s="255"/>
      <c r="C347" s="255" t="s">
        <v>196</v>
      </c>
      <c r="D347" s="255"/>
      <c r="E347" s="255"/>
      <c r="F347" s="256"/>
      <c r="G347" s="255"/>
      <c r="H347" s="257"/>
      <c r="I347" s="258"/>
      <c r="J347" s="259">
        <f>SUM(J344:J346)</f>
        <v>0</v>
      </c>
      <c r="K347" s="255" t="s">
        <v>14</v>
      </c>
      <c r="L347" s="255"/>
      <c r="M347" s="255"/>
    </row>
    <row r="348" spans="1:26" s="8" customFormat="1" x14ac:dyDescent="0.25">
      <c r="A348" s="427"/>
      <c r="B348" s="220"/>
      <c r="C348" s="220"/>
      <c r="D348" s="220"/>
      <c r="E348" s="220"/>
      <c r="F348" s="220"/>
      <c r="G348" s="220"/>
      <c r="H348" s="221"/>
      <c r="I348" s="221"/>
      <c r="J348" s="223"/>
      <c r="K348" s="220"/>
      <c r="L348" s="222"/>
      <c r="M348" s="222"/>
      <c r="N348"/>
      <c r="O348"/>
      <c r="P348"/>
      <c r="Q348"/>
      <c r="R348"/>
      <c r="S348"/>
      <c r="T348"/>
      <c r="U348"/>
      <c r="Y348"/>
      <c r="Z348"/>
    </row>
    <row r="349" spans="1:26" x14ac:dyDescent="0.25">
      <c r="B349" s="534"/>
      <c r="C349" s="534"/>
      <c r="D349" s="534"/>
      <c r="E349" s="534"/>
      <c r="F349" s="534"/>
      <c r="G349" s="534"/>
      <c r="H349" s="534"/>
      <c r="I349" s="534"/>
      <c r="J349" s="534"/>
      <c r="K349" s="534"/>
      <c r="L349" s="534"/>
      <c r="M349" s="534"/>
      <c r="N349" s="8"/>
      <c r="O349" s="8"/>
      <c r="P349" s="8"/>
      <c r="Q349" s="8"/>
      <c r="R349" s="8"/>
      <c r="S349" s="8"/>
      <c r="T349" s="8"/>
      <c r="U349" s="8"/>
      <c r="Y349" s="8"/>
      <c r="Z349" s="8"/>
    </row>
    <row r="350" spans="1:26" ht="33" customHeight="1" x14ac:dyDescent="0.3">
      <c r="B350" s="225" t="s">
        <v>513</v>
      </c>
      <c r="C350" s="226"/>
      <c r="D350" s="226"/>
      <c r="E350" s="227"/>
      <c r="F350" s="226" t="s">
        <v>159</v>
      </c>
      <c r="G350" s="228"/>
      <c r="H350" s="228" t="s">
        <v>158</v>
      </c>
      <c r="I350" s="226"/>
      <c r="J350" s="226" t="s">
        <v>324</v>
      </c>
      <c r="K350" s="229"/>
      <c r="L350" s="229"/>
      <c r="M350" s="229"/>
    </row>
    <row r="351" spans="1:26" ht="16.2" thickBot="1" x14ac:dyDescent="0.35">
      <c r="B351" s="225"/>
      <c r="C351" s="226"/>
      <c r="D351" s="226"/>
      <c r="E351" s="227"/>
      <c r="F351" s="226"/>
      <c r="G351" s="228"/>
      <c r="H351" s="228"/>
      <c r="I351" s="226"/>
      <c r="J351" s="226"/>
      <c r="K351" s="229"/>
      <c r="L351" s="229"/>
      <c r="M351" s="229"/>
    </row>
    <row r="352" spans="1:26" ht="13.8" thickBot="1" x14ac:dyDescent="0.3">
      <c r="B352" s="226"/>
      <c r="C352" s="226" t="s">
        <v>296</v>
      </c>
      <c r="D352" s="229"/>
      <c r="E352" s="230"/>
      <c r="F352" s="96">
        <v>1000</v>
      </c>
      <c r="G352" s="231" t="s">
        <v>18</v>
      </c>
      <c r="H352" s="96">
        <v>0.15</v>
      </c>
      <c r="I352" s="232" t="s">
        <v>10</v>
      </c>
      <c r="J352" s="229">
        <f>H352*F352</f>
        <v>150</v>
      </c>
      <c r="K352" s="232" t="s">
        <v>14</v>
      </c>
      <c r="L352" s="229"/>
      <c r="M352" s="229"/>
    </row>
    <row r="353" spans="1:26" ht="13.8" thickBot="1" x14ac:dyDescent="0.3">
      <c r="B353" s="226"/>
      <c r="C353" s="226" t="s">
        <v>464</v>
      </c>
      <c r="D353" s="232">
        <f>F380/2</f>
        <v>59.5</v>
      </c>
      <c r="E353" s="226" t="s">
        <v>9</v>
      </c>
      <c r="F353" s="96">
        <f>+D353*8</f>
        <v>476</v>
      </c>
      <c r="G353" s="228" t="s">
        <v>20</v>
      </c>
      <c r="H353" s="96">
        <v>0.83</v>
      </c>
      <c r="I353" s="232" t="s">
        <v>5</v>
      </c>
      <c r="J353" s="229">
        <f>H353*F353</f>
        <v>395.08</v>
      </c>
      <c r="K353" s="232" t="s">
        <v>14</v>
      </c>
      <c r="L353" s="229"/>
      <c r="M353" s="229"/>
    </row>
    <row r="354" spans="1:26" ht="13.8" thickBot="1" x14ac:dyDescent="0.3">
      <c r="B354" s="226"/>
      <c r="C354" s="226" t="s">
        <v>298</v>
      </c>
      <c r="D354" s="232">
        <f>D353</f>
        <v>59.5</v>
      </c>
      <c r="E354" s="226" t="s">
        <v>9</v>
      </c>
      <c r="F354" s="96">
        <v>11.88</v>
      </c>
      <c r="G354" s="228" t="s">
        <v>21</v>
      </c>
      <c r="H354" s="96">
        <v>4</v>
      </c>
      <c r="I354" s="232" t="s">
        <v>6</v>
      </c>
      <c r="J354" s="229">
        <f t="shared" ref="J354:J358" si="35">H354*F354</f>
        <v>47.52</v>
      </c>
      <c r="K354" s="232" t="s">
        <v>14</v>
      </c>
      <c r="L354" s="229"/>
      <c r="M354" s="229"/>
    </row>
    <row r="355" spans="1:26" ht="13.8" thickBot="1" x14ac:dyDescent="0.3">
      <c r="B355" s="226"/>
      <c r="C355" s="226" t="s">
        <v>19</v>
      </c>
      <c r="D355" s="229"/>
      <c r="E355" s="232"/>
      <c r="F355" s="96">
        <v>200</v>
      </c>
      <c r="G355" s="228" t="s">
        <v>20</v>
      </c>
      <c r="H355" s="96">
        <v>1.53</v>
      </c>
      <c r="I355" s="232" t="s">
        <v>5</v>
      </c>
      <c r="J355" s="229">
        <f t="shared" si="35"/>
        <v>306</v>
      </c>
      <c r="K355" s="232" t="s">
        <v>14</v>
      </c>
      <c r="L355" s="229"/>
      <c r="M355" s="229"/>
    </row>
    <row r="356" spans="1:26" ht="13.8" thickBot="1" x14ac:dyDescent="0.3">
      <c r="B356" s="226"/>
      <c r="C356" s="226" t="s">
        <v>299</v>
      </c>
      <c r="D356" s="229"/>
      <c r="E356" s="232"/>
      <c r="F356" s="96">
        <v>1.48</v>
      </c>
      <c r="G356" s="228" t="s">
        <v>20</v>
      </c>
      <c r="H356" s="96">
        <v>1.6</v>
      </c>
      <c r="I356" s="232" t="s">
        <v>5</v>
      </c>
      <c r="J356" s="229">
        <f t="shared" si="35"/>
        <v>2.3679999999999999</v>
      </c>
      <c r="K356" s="232" t="s">
        <v>14</v>
      </c>
      <c r="L356" s="229"/>
      <c r="M356" s="229"/>
    </row>
    <row r="357" spans="1:26" ht="13.8" thickBot="1" x14ac:dyDescent="0.3">
      <c r="B357" s="226"/>
      <c r="C357" s="226" t="s">
        <v>300</v>
      </c>
      <c r="D357" s="229"/>
      <c r="E357" s="232"/>
      <c r="F357" s="96"/>
      <c r="G357" s="228"/>
      <c r="H357" s="96"/>
      <c r="I357" s="232"/>
      <c r="J357" s="229">
        <f t="shared" si="35"/>
        <v>0</v>
      </c>
      <c r="K357" s="232" t="s">
        <v>14</v>
      </c>
      <c r="L357" s="229"/>
      <c r="M357" s="229"/>
    </row>
    <row r="358" spans="1:26" ht="13.8" thickBot="1" x14ac:dyDescent="0.3">
      <c r="B358" s="229"/>
      <c r="C358" s="226" t="s">
        <v>300</v>
      </c>
      <c r="D358" s="229"/>
      <c r="E358" s="229"/>
      <c r="F358" s="96"/>
      <c r="G358" s="229"/>
      <c r="H358" s="96"/>
      <c r="I358" s="229"/>
      <c r="J358" s="229">
        <f t="shared" si="35"/>
        <v>0</v>
      </c>
      <c r="K358" s="232" t="s">
        <v>14</v>
      </c>
      <c r="L358" s="229"/>
      <c r="M358" s="229"/>
    </row>
    <row r="359" spans="1:26" x14ac:dyDescent="0.25">
      <c r="B359" s="260"/>
      <c r="C359" s="260" t="s">
        <v>196</v>
      </c>
      <c r="D359" s="260"/>
      <c r="E359" s="260"/>
      <c r="F359" s="261"/>
      <c r="G359" s="260"/>
      <c r="H359" s="261"/>
      <c r="I359" s="260"/>
      <c r="J359" s="260">
        <f>SUM(J352:J358)</f>
        <v>900.96799999999996</v>
      </c>
      <c r="K359" s="262" t="s">
        <v>14</v>
      </c>
      <c r="L359" s="260"/>
      <c r="M359" s="260"/>
    </row>
    <row r="360" spans="1:26" s="8" customFormat="1" x14ac:dyDescent="0.25">
      <c r="A360" s="427"/>
      <c r="B360" s="229"/>
      <c r="C360" s="229"/>
      <c r="D360" s="229"/>
      <c r="E360" s="229"/>
      <c r="F360" s="229"/>
      <c r="G360" s="229"/>
      <c r="H360" s="229"/>
      <c r="I360" s="229"/>
      <c r="J360" s="229"/>
      <c r="K360" s="229"/>
      <c r="L360" s="229"/>
      <c r="M360" s="229"/>
      <c r="N360"/>
      <c r="O360"/>
      <c r="P360"/>
      <c r="Q360"/>
      <c r="R360"/>
      <c r="S360"/>
      <c r="T360"/>
      <c r="U360"/>
      <c r="Y360"/>
      <c r="Z360"/>
    </row>
    <row r="361" spans="1:26" x14ac:dyDescent="0.25">
      <c r="B361" s="534"/>
      <c r="C361" s="534"/>
      <c r="D361" s="534"/>
      <c r="E361" s="534"/>
      <c r="F361" s="534"/>
      <c r="G361" s="534"/>
      <c r="H361" s="534"/>
      <c r="I361" s="534"/>
      <c r="J361" s="534"/>
      <c r="K361" s="534"/>
      <c r="L361" s="534"/>
      <c r="M361" s="534"/>
      <c r="N361" s="8"/>
      <c r="O361" s="8"/>
      <c r="P361" s="8"/>
      <c r="Q361" s="8"/>
      <c r="R361" s="8"/>
      <c r="S361" s="8"/>
      <c r="T361" s="8"/>
      <c r="U361" s="8"/>
      <c r="Y361" s="8"/>
      <c r="Z361" s="8"/>
    </row>
    <row r="362" spans="1:26" ht="31.95" customHeight="1" x14ac:dyDescent="0.3">
      <c r="B362" s="112" t="s">
        <v>484</v>
      </c>
      <c r="C362" s="101"/>
      <c r="D362" s="101"/>
      <c r="E362" s="101"/>
      <c r="F362" s="101"/>
      <c r="G362" s="101"/>
      <c r="H362" s="101"/>
      <c r="I362" s="101"/>
      <c r="J362" s="101"/>
      <c r="K362" s="101"/>
      <c r="L362" s="101"/>
      <c r="M362" s="101"/>
    </row>
    <row r="363" spans="1:26" ht="15.6" x14ac:dyDescent="0.3">
      <c r="B363" s="112"/>
      <c r="C363" s="101"/>
      <c r="D363" s="101"/>
      <c r="E363" s="101"/>
      <c r="F363" s="101"/>
      <c r="G363" s="101"/>
      <c r="H363" s="101"/>
      <c r="I363" s="101"/>
      <c r="J363" s="101"/>
      <c r="K363" s="101"/>
      <c r="L363" s="101"/>
      <c r="M363" s="101"/>
    </row>
    <row r="364" spans="1:26" ht="30" customHeight="1" x14ac:dyDescent="0.25">
      <c r="B364" s="961" t="s">
        <v>302</v>
      </c>
      <c r="C364" s="961"/>
      <c r="D364" s="961"/>
      <c r="E364" s="961"/>
      <c r="F364" s="961"/>
      <c r="G364" s="961"/>
      <c r="H364" s="961"/>
      <c r="I364" s="961"/>
      <c r="J364" s="961"/>
      <c r="K364" s="961"/>
      <c r="L364" s="961"/>
      <c r="M364" s="961"/>
    </row>
    <row r="365" spans="1:26" ht="46.95" customHeight="1" x14ac:dyDescent="0.3">
      <c r="B365" s="112"/>
      <c r="C365" s="101"/>
      <c r="D365" s="101"/>
      <c r="E365" s="834"/>
      <c r="F365" s="834"/>
      <c r="G365" s="834"/>
      <c r="H365" s="835"/>
      <c r="I365" s="835"/>
      <c r="J365" s="834"/>
      <c r="K365" s="834"/>
      <c r="L365" s="835"/>
      <c r="M365" s="835"/>
    </row>
    <row r="366" spans="1:26" ht="15.6" x14ac:dyDescent="0.3">
      <c r="B366" s="112"/>
      <c r="C366" s="101"/>
      <c r="D366" s="101"/>
      <c r="E366" s="962" t="s">
        <v>303</v>
      </c>
      <c r="F366" s="962"/>
      <c r="G366" s="962"/>
      <c r="H366" s="963" t="s">
        <v>158</v>
      </c>
      <c r="I366" s="963"/>
      <c r="J366" s="963" t="s">
        <v>304</v>
      </c>
      <c r="K366" s="963"/>
      <c r="L366" s="963" t="s">
        <v>158</v>
      </c>
      <c r="M366" s="963"/>
    </row>
    <row r="367" spans="1:26" ht="15.6" thickBot="1" x14ac:dyDescent="0.3">
      <c r="B367" s="100"/>
      <c r="C367" s="101"/>
      <c r="D367" s="101"/>
      <c r="E367" s="101"/>
      <c r="F367" s="101"/>
      <c r="G367" s="101"/>
      <c r="H367" s="101"/>
      <c r="I367" s="101"/>
      <c r="J367" s="101"/>
      <c r="K367" s="101"/>
      <c r="L367" s="101"/>
      <c r="M367" s="101"/>
    </row>
    <row r="368" spans="1:26" ht="13.8" thickBot="1" x14ac:dyDescent="0.3">
      <c r="B368" s="101"/>
      <c r="C368" s="102" t="s">
        <v>323</v>
      </c>
      <c r="D368" s="101"/>
      <c r="E368" s="101"/>
      <c r="F368" s="115">
        <v>1</v>
      </c>
      <c r="G368" s="104" t="s">
        <v>22</v>
      </c>
      <c r="H368" s="114">
        <f t="shared" ref="H368:H379" si="36">$H$166</f>
        <v>14.5</v>
      </c>
      <c r="I368" s="104" t="s">
        <v>11</v>
      </c>
      <c r="J368" s="116"/>
      <c r="K368" s="104" t="s">
        <v>22</v>
      </c>
      <c r="L368" s="114">
        <f t="shared" ref="L368:L379" si="37">$L$166</f>
        <v>14.5</v>
      </c>
      <c r="M368" s="104" t="s">
        <v>11</v>
      </c>
    </row>
    <row r="369" spans="1:26" ht="13.8" thickBot="1" x14ac:dyDescent="0.3">
      <c r="B369" s="101"/>
      <c r="C369" s="102" t="s">
        <v>427</v>
      </c>
      <c r="D369" s="101"/>
      <c r="E369" s="101"/>
      <c r="F369" s="115">
        <v>20</v>
      </c>
      <c r="G369" s="104" t="s">
        <v>22</v>
      </c>
      <c r="H369" s="114">
        <f t="shared" si="36"/>
        <v>14.5</v>
      </c>
      <c r="I369" s="104" t="s">
        <v>11</v>
      </c>
      <c r="J369" s="116">
        <v>20</v>
      </c>
      <c r="K369" s="104" t="s">
        <v>22</v>
      </c>
      <c r="L369" s="114">
        <f t="shared" si="37"/>
        <v>14.5</v>
      </c>
      <c r="M369" s="104" t="s">
        <v>11</v>
      </c>
    </row>
    <row r="370" spans="1:26" ht="13.8" thickBot="1" x14ac:dyDescent="0.3">
      <c r="B370" s="101"/>
      <c r="C370" s="102" t="s">
        <v>317</v>
      </c>
      <c r="D370" s="101"/>
      <c r="E370" s="101"/>
      <c r="F370" s="115"/>
      <c r="G370" s="104" t="s">
        <v>22</v>
      </c>
      <c r="H370" s="114">
        <f t="shared" si="36"/>
        <v>14.5</v>
      </c>
      <c r="I370" s="104" t="s">
        <v>11</v>
      </c>
      <c r="J370" s="116"/>
      <c r="K370" s="104" t="s">
        <v>22</v>
      </c>
      <c r="L370" s="114">
        <f t="shared" si="37"/>
        <v>14.5</v>
      </c>
      <c r="M370" s="104" t="s">
        <v>11</v>
      </c>
    </row>
    <row r="371" spans="1:26" ht="13.8" thickBot="1" x14ac:dyDescent="0.3">
      <c r="B371" s="101"/>
      <c r="C371" s="102" t="s">
        <v>132</v>
      </c>
      <c r="D371" s="101"/>
      <c r="E371" s="101"/>
      <c r="F371" s="115"/>
      <c r="G371" s="104" t="s">
        <v>21</v>
      </c>
      <c r="H371" s="115"/>
      <c r="I371" s="104" t="s">
        <v>6</v>
      </c>
      <c r="J371" s="115">
        <f>'Gårdens info'!G27*'Gårdens info'!D27*0.8</f>
        <v>3600</v>
      </c>
      <c r="K371" s="104" t="s">
        <v>21</v>
      </c>
      <c r="L371" s="115">
        <v>4.5</v>
      </c>
      <c r="M371" s="104" t="s">
        <v>6</v>
      </c>
    </row>
    <row r="372" spans="1:26" ht="13.8" thickBot="1" x14ac:dyDescent="0.3">
      <c r="B372" s="101"/>
      <c r="C372" s="102" t="s">
        <v>132</v>
      </c>
      <c r="D372" s="101"/>
      <c r="E372" s="101"/>
      <c r="F372" s="115">
        <v>40</v>
      </c>
      <c r="G372" s="104" t="s">
        <v>22</v>
      </c>
      <c r="H372" s="114">
        <f t="shared" si="36"/>
        <v>14.5</v>
      </c>
      <c r="I372" s="104" t="s">
        <v>11</v>
      </c>
      <c r="J372" s="116"/>
      <c r="K372" s="104" t="s">
        <v>22</v>
      </c>
      <c r="L372" s="114">
        <f t="shared" si="37"/>
        <v>14.5</v>
      </c>
      <c r="M372" s="104" t="s">
        <v>11</v>
      </c>
    </row>
    <row r="373" spans="1:26" ht="13.8" thickBot="1" x14ac:dyDescent="0.3">
      <c r="B373" s="101"/>
      <c r="C373" s="102" t="s">
        <v>454</v>
      </c>
      <c r="D373" s="101"/>
      <c r="E373" s="101"/>
      <c r="F373" s="115">
        <v>20</v>
      </c>
      <c r="G373" s="104" t="s">
        <v>22</v>
      </c>
      <c r="H373" s="114">
        <f t="shared" si="36"/>
        <v>14.5</v>
      </c>
      <c r="I373" s="104" t="s">
        <v>11</v>
      </c>
      <c r="J373" s="116">
        <v>30</v>
      </c>
      <c r="K373" s="104" t="s">
        <v>22</v>
      </c>
      <c r="L373" s="114">
        <f t="shared" si="37"/>
        <v>14.5</v>
      </c>
      <c r="M373" s="104" t="s">
        <v>11</v>
      </c>
    </row>
    <row r="374" spans="1:26" ht="13.8" thickBot="1" x14ac:dyDescent="0.3">
      <c r="B374" s="101"/>
      <c r="C374" s="102" t="s">
        <v>428</v>
      </c>
      <c r="D374" s="101"/>
      <c r="E374" s="101"/>
      <c r="F374" s="115">
        <v>8</v>
      </c>
      <c r="G374" s="104" t="s">
        <v>22</v>
      </c>
      <c r="H374" s="114">
        <f t="shared" si="36"/>
        <v>14.5</v>
      </c>
      <c r="I374" s="104" t="s">
        <v>11</v>
      </c>
      <c r="J374" s="116"/>
      <c r="K374" s="104" t="s">
        <v>22</v>
      </c>
      <c r="L374" s="114">
        <f t="shared" si="37"/>
        <v>14.5</v>
      </c>
      <c r="M374" s="104" t="s">
        <v>11</v>
      </c>
    </row>
    <row r="375" spans="1:26" ht="13.8" thickBot="1" x14ac:dyDescent="0.3">
      <c r="B375" s="101"/>
      <c r="C375" s="102" t="s">
        <v>515</v>
      </c>
      <c r="D375" s="101"/>
      <c r="E375" s="101"/>
      <c r="F375" s="115">
        <v>10</v>
      </c>
      <c r="G375" s="104" t="s">
        <v>22</v>
      </c>
      <c r="H375" s="114">
        <f t="shared" si="36"/>
        <v>14.5</v>
      </c>
      <c r="I375" s="104" t="s">
        <v>11</v>
      </c>
      <c r="J375" s="116"/>
      <c r="K375" s="104" t="s">
        <v>22</v>
      </c>
      <c r="L375" s="114">
        <f t="shared" si="37"/>
        <v>14.5</v>
      </c>
      <c r="M375" s="104" t="s">
        <v>11</v>
      </c>
    </row>
    <row r="376" spans="1:26" ht="13.8" thickBot="1" x14ac:dyDescent="0.3">
      <c r="B376" s="101"/>
      <c r="C376" s="102" t="s">
        <v>429</v>
      </c>
      <c r="D376" s="101"/>
      <c r="E376" s="101"/>
      <c r="F376" s="116">
        <v>20</v>
      </c>
      <c r="G376" s="104" t="s">
        <v>22</v>
      </c>
      <c r="H376" s="114">
        <f t="shared" si="36"/>
        <v>14.5</v>
      </c>
      <c r="I376" s="104" t="s">
        <v>11</v>
      </c>
      <c r="J376" s="116"/>
      <c r="K376" s="104" t="s">
        <v>22</v>
      </c>
      <c r="L376" s="114">
        <f t="shared" si="37"/>
        <v>14.5</v>
      </c>
      <c r="M376" s="104" t="s">
        <v>11</v>
      </c>
    </row>
    <row r="377" spans="1:26" ht="13.8" thickBot="1" x14ac:dyDescent="0.3">
      <c r="B377" s="101"/>
      <c r="C377" s="102" t="s">
        <v>431</v>
      </c>
      <c r="D377" s="101"/>
      <c r="E377" s="101"/>
      <c r="F377" s="116"/>
      <c r="G377" s="104" t="s">
        <v>22</v>
      </c>
      <c r="H377" s="114">
        <f t="shared" si="36"/>
        <v>14.5</v>
      </c>
      <c r="I377" s="104" t="s">
        <v>11</v>
      </c>
      <c r="J377" s="97"/>
      <c r="K377" s="104" t="s">
        <v>22</v>
      </c>
      <c r="L377" s="114">
        <f t="shared" si="37"/>
        <v>14.5</v>
      </c>
      <c r="M377" s="104" t="s">
        <v>11</v>
      </c>
    </row>
    <row r="378" spans="1:26" ht="13.8" thickBot="1" x14ac:dyDescent="0.3">
      <c r="B378" s="101"/>
      <c r="C378" s="102" t="s">
        <v>431</v>
      </c>
      <c r="D378" s="101"/>
      <c r="E378" s="101"/>
      <c r="F378" s="116"/>
      <c r="G378" s="104" t="s">
        <v>22</v>
      </c>
      <c r="H378" s="114">
        <f t="shared" si="36"/>
        <v>14.5</v>
      </c>
      <c r="I378" s="104" t="s">
        <v>11</v>
      </c>
      <c r="J378" s="97"/>
      <c r="K378" s="104" t="s">
        <v>22</v>
      </c>
      <c r="L378" s="114">
        <f t="shared" si="37"/>
        <v>14.5</v>
      </c>
      <c r="M378" s="104" t="s">
        <v>11</v>
      </c>
    </row>
    <row r="379" spans="1:26" ht="13.8" thickBot="1" x14ac:dyDescent="0.3">
      <c r="B379" s="101"/>
      <c r="C379" s="102" t="s">
        <v>431</v>
      </c>
      <c r="D379" s="103"/>
      <c r="E379" s="103"/>
      <c r="F379" s="97"/>
      <c r="G379" s="104" t="s">
        <v>22</v>
      </c>
      <c r="H379" s="114">
        <f t="shared" si="36"/>
        <v>14.5</v>
      </c>
      <c r="I379" s="104" t="s">
        <v>11</v>
      </c>
      <c r="J379" s="97"/>
      <c r="K379" s="104" t="s">
        <v>22</v>
      </c>
      <c r="L379" s="114">
        <f t="shared" si="37"/>
        <v>14.5</v>
      </c>
      <c r="M379" s="104" t="s">
        <v>11</v>
      </c>
    </row>
    <row r="380" spans="1:26" x14ac:dyDescent="0.25">
      <c r="B380" s="264"/>
      <c r="C380" s="265" t="s">
        <v>196</v>
      </c>
      <c r="D380" s="266"/>
      <c r="E380" s="266"/>
      <c r="F380" s="267">
        <f>SUM(F368:F370)+SUM(F372:F379)</f>
        <v>119</v>
      </c>
      <c r="G380" s="264" t="s">
        <v>22</v>
      </c>
      <c r="H380" s="268">
        <f>F380*H166+F371*H371</f>
        <v>1725.5</v>
      </c>
      <c r="I380" s="264" t="s">
        <v>14</v>
      </c>
      <c r="J380" s="269">
        <f>SUM(J368:J370,J372:J379)</f>
        <v>50</v>
      </c>
      <c r="K380" s="264" t="s">
        <v>22</v>
      </c>
      <c r="L380" s="268">
        <f>J380*L166+J371*L371</f>
        <v>16925</v>
      </c>
      <c r="M380" s="264" t="s">
        <v>14</v>
      </c>
    </row>
    <row r="381" spans="1:26" s="8" customFormat="1" ht="13.8" thickBot="1" x14ac:dyDescent="0.3">
      <c r="A381" s="427"/>
      <c r="B381" s="534"/>
      <c r="C381" s="534"/>
      <c r="D381" s="534"/>
      <c r="E381" s="534"/>
      <c r="F381" s="534"/>
      <c r="G381" s="534"/>
      <c r="H381" s="534"/>
      <c r="I381" s="534"/>
      <c r="J381" s="534"/>
      <c r="K381" s="534"/>
      <c r="L381" s="534"/>
      <c r="M381" s="534"/>
      <c r="N381"/>
      <c r="O381"/>
      <c r="P381"/>
      <c r="Q381"/>
      <c r="R381"/>
      <c r="S381"/>
      <c r="T381"/>
      <c r="U381"/>
      <c r="Y381"/>
      <c r="Z381"/>
    </row>
    <row r="382" spans="1:26" ht="58.05" customHeight="1" thickBot="1" x14ac:dyDescent="0.45">
      <c r="B382" s="953" t="s">
        <v>492</v>
      </c>
      <c r="C382" s="954"/>
      <c r="D382" s="954"/>
      <c r="E382" s="955"/>
      <c r="F382" s="534"/>
      <c r="G382" s="534"/>
      <c r="H382" s="534"/>
      <c r="I382" s="534"/>
      <c r="J382" s="983" t="s">
        <v>271</v>
      </c>
      <c r="K382" s="983"/>
      <c r="L382" s="983"/>
      <c r="M382" s="534"/>
      <c r="N382" s="8"/>
      <c r="O382" s="8"/>
      <c r="P382" s="8"/>
      <c r="Q382" s="8"/>
      <c r="R382" s="8"/>
      <c r="S382" s="8"/>
      <c r="T382" s="8"/>
      <c r="U382" s="8"/>
      <c r="Y382" s="8"/>
      <c r="Z382" s="8"/>
    </row>
    <row r="383" spans="1:26" x14ac:dyDescent="0.25">
      <c r="B383" s="534"/>
      <c r="C383" s="534"/>
      <c r="D383" s="534"/>
      <c r="E383" s="534"/>
      <c r="F383" s="534"/>
      <c r="G383" s="534"/>
      <c r="H383" s="534"/>
      <c r="I383" s="534"/>
      <c r="J383" s="534"/>
      <c r="K383" s="534"/>
      <c r="L383" s="534"/>
      <c r="M383" s="534"/>
    </row>
    <row r="384" spans="1:26" ht="15" customHeight="1" x14ac:dyDescent="0.25">
      <c r="B384" s="974" t="s">
        <v>459</v>
      </c>
      <c r="C384" s="974"/>
      <c r="D384" s="974"/>
      <c r="E384" s="974"/>
      <c r="F384" s="974"/>
      <c r="G384" s="974"/>
      <c r="H384" s="974"/>
      <c r="I384" s="974"/>
      <c r="J384" s="974"/>
      <c r="K384" s="974"/>
      <c r="L384" s="974"/>
      <c r="M384" s="974"/>
    </row>
    <row r="385" spans="1:26" s="91" customFormat="1" ht="49.95" customHeight="1" x14ac:dyDescent="0.25">
      <c r="A385" s="429"/>
      <c r="B385" s="534"/>
      <c r="C385" s="534"/>
      <c r="D385" s="534"/>
      <c r="E385" s="534"/>
      <c r="F385" s="534"/>
      <c r="G385" s="534"/>
      <c r="H385" s="534"/>
      <c r="I385" s="534"/>
      <c r="J385" s="534"/>
      <c r="K385" s="534"/>
      <c r="L385" s="534"/>
      <c r="M385" s="534"/>
      <c r="N385"/>
      <c r="O385"/>
      <c r="P385"/>
      <c r="Q385"/>
      <c r="R385"/>
      <c r="S385"/>
      <c r="T385"/>
      <c r="U385"/>
      <c r="Y385"/>
      <c r="Z385"/>
    </row>
    <row r="386" spans="1:26" ht="31.05" customHeight="1" x14ac:dyDescent="0.3">
      <c r="B386" s="109" t="s">
        <v>518</v>
      </c>
      <c r="C386" s="72"/>
      <c r="D386" s="72"/>
      <c r="E386" s="72"/>
      <c r="F386" s="957" t="s">
        <v>159</v>
      </c>
      <c r="G386" s="957"/>
      <c r="H386" s="958" t="s">
        <v>158</v>
      </c>
      <c r="I386" s="958"/>
      <c r="J386" s="957" t="s">
        <v>324</v>
      </c>
      <c r="K386" s="957"/>
      <c r="L386" s="79"/>
      <c r="M386" s="79"/>
      <c r="N386" s="91"/>
      <c r="O386" s="91"/>
      <c r="P386" s="91"/>
      <c r="Q386" s="91"/>
      <c r="R386" s="91"/>
      <c r="S386" s="91"/>
      <c r="T386" s="91"/>
      <c r="U386" s="91"/>
      <c r="Y386" s="91"/>
      <c r="Z386" s="91"/>
    </row>
    <row r="387" spans="1:26" ht="15.6" x14ac:dyDescent="0.3">
      <c r="B387" s="109"/>
      <c r="C387" s="72"/>
      <c r="D387" s="462" t="s">
        <v>364</v>
      </c>
      <c r="E387" s="72"/>
      <c r="F387" s="128"/>
      <c r="G387" s="128"/>
      <c r="H387" s="127"/>
      <c r="I387" s="127"/>
      <c r="J387" s="128"/>
      <c r="K387" s="128"/>
      <c r="L387" s="79"/>
      <c r="M387" s="79"/>
    </row>
    <row r="388" spans="1:26" ht="13.8" thickBot="1" x14ac:dyDescent="0.3">
      <c r="B388" s="214" t="s">
        <v>357</v>
      </c>
      <c r="C388" s="72"/>
      <c r="D388" s="72"/>
      <c r="E388" s="72"/>
      <c r="F388" s="74"/>
      <c r="G388" s="74"/>
      <c r="H388" s="73"/>
      <c r="I388" s="73"/>
      <c r="J388" s="79"/>
      <c r="K388" s="79"/>
      <c r="L388" s="79"/>
      <c r="M388" s="79"/>
    </row>
    <row r="389" spans="1:26" ht="13.8" thickBot="1" x14ac:dyDescent="0.3">
      <c r="B389" s="72"/>
      <c r="C389" s="72" t="s">
        <v>413</v>
      </c>
      <c r="D389" s="79"/>
      <c r="E389" s="72"/>
      <c r="F389" s="119">
        <v>3.3</v>
      </c>
      <c r="G389" s="74" t="s">
        <v>20</v>
      </c>
      <c r="H389" s="99">
        <v>16.8</v>
      </c>
      <c r="I389" s="73" t="s">
        <v>5</v>
      </c>
      <c r="J389" s="79">
        <f>F389*H389</f>
        <v>55.44</v>
      </c>
      <c r="K389" s="72" t="s">
        <v>14</v>
      </c>
      <c r="L389" s="79"/>
      <c r="M389" s="79"/>
    </row>
    <row r="390" spans="1:26" ht="13.8" thickBot="1" x14ac:dyDescent="0.3">
      <c r="B390" s="72"/>
      <c r="C390" s="72" t="s">
        <v>326</v>
      </c>
      <c r="D390" s="72"/>
      <c r="E390" s="72"/>
      <c r="F390" s="119"/>
      <c r="G390" s="74" t="s">
        <v>20</v>
      </c>
      <c r="H390" s="99"/>
      <c r="I390" s="73" t="s">
        <v>5</v>
      </c>
      <c r="J390" s="79">
        <f t="shared" ref="J390:J391" si="38">F390*H390</f>
        <v>0</v>
      </c>
      <c r="K390" s="72" t="s">
        <v>14</v>
      </c>
      <c r="L390" s="79"/>
      <c r="M390" s="79"/>
    </row>
    <row r="391" spans="1:26" ht="13.8" thickBot="1" x14ac:dyDescent="0.3">
      <c r="B391" s="72"/>
      <c r="C391" s="72" t="s">
        <v>326</v>
      </c>
      <c r="D391" s="72"/>
      <c r="E391" s="72"/>
      <c r="F391" s="119"/>
      <c r="G391" s="74" t="s">
        <v>20</v>
      </c>
      <c r="H391" s="99"/>
      <c r="I391" s="73" t="s">
        <v>5</v>
      </c>
      <c r="J391" s="79">
        <f t="shared" si="38"/>
        <v>0</v>
      </c>
      <c r="K391" s="72" t="s">
        <v>14</v>
      </c>
      <c r="L391" s="79"/>
      <c r="M391" s="79"/>
    </row>
    <row r="392" spans="1:26" x14ac:dyDescent="0.25">
      <c r="B392" s="72"/>
      <c r="C392" s="72"/>
      <c r="D392" s="72"/>
      <c r="E392" s="72"/>
      <c r="F392" s="212"/>
      <c r="G392" s="74"/>
      <c r="H392" s="213"/>
      <c r="I392" s="73"/>
      <c r="J392" s="79"/>
      <c r="K392" s="72"/>
      <c r="L392" s="79"/>
      <c r="M392" s="79"/>
    </row>
    <row r="393" spans="1:26" ht="13.8" thickBot="1" x14ac:dyDescent="0.3">
      <c r="B393" s="214" t="s">
        <v>358</v>
      </c>
      <c r="C393" s="72"/>
      <c r="D393" s="72"/>
      <c r="E393" s="72"/>
      <c r="F393" s="212"/>
      <c r="G393" s="74"/>
      <c r="H393" s="213"/>
      <c r="I393" s="73"/>
      <c r="J393" s="79"/>
      <c r="K393" s="72"/>
      <c r="L393" s="79"/>
      <c r="M393" s="79"/>
    </row>
    <row r="394" spans="1:26" ht="13.8" thickBot="1" x14ac:dyDescent="0.3">
      <c r="B394" s="72"/>
      <c r="C394" s="72" t="s">
        <v>326</v>
      </c>
      <c r="D394" s="72"/>
      <c r="E394" s="72"/>
      <c r="F394" s="119"/>
      <c r="G394" s="74"/>
      <c r="H394" s="119"/>
      <c r="I394" s="73"/>
      <c r="J394" s="79"/>
      <c r="K394" s="72" t="s">
        <v>14</v>
      </c>
      <c r="L394" s="79"/>
      <c r="M394" s="79"/>
    </row>
    <row r="395" spans="1:26" ht="13.8" thickBot="1" x14ac:dyDescent="0.3">
      <c r="B395" s="72"/>
      <c r="C395" s="72" t="s">
        <v>326</v>
      </c>
      <c r="D395" s="72"/>
      <c r="E395" s="72"/>
      <c r="F395" s="119"/>
      <c r="G395" s="74"/>
      <c r="H395" s="119"/>
      <c r="I395" s="73"/>
      <c r="J395" s="79"/>
      <c r="K395" s="72" t="s">
        <v>14</v>
      </c>
      <c r="L395" s="79"/>
      <c r="M395" s="79"/>
    </row>
    <row r="396" spans="1:26" ht="13.8" thickBot="1" x14ac:dyDescent="0.3">
      <c r="B396" s="72"/>
      <c r="C396" s="72" t="s">
        <v>326</v>
      </c>
      <c r="D396" s="72"/>
      <c r="E396" s="72"/>
      <c r="F396" s="119"/>
      <c r="G396" s="74"/>
      <c r="H396" s="119"/>
      <c r="I396" s="73"/>
      <c r="J396" s="79"/>
      <c r="K396" s="72" t="s">
        <v>14</v>
      </c>
      <c r="L396" s="79"/>
      <c r="M396" s="79"/>
    </row>
    <row r="397" spans="1:26" x14ac:dyDescent="0.25">
      <c r="B397" s="241"/>
      <c r="C397" s="241" t="s">
        <v>196</v>
      </c>
      <c r="D397" s="241"/>
      <c r="E397" s="241"/>
      <c r="F397" s="273"/>
      <c r="G397" s="242"/>
      <c r="H397" s="273"/>
      <c r="I397" s="243"/>
      <c r="J397" s="241">
        <f>SUM(J389:J396)</f>
        <v>55.44</v>
      </c>
      <c r="K397" s="241" t="s">
        <v>14</v>
      </c>
      <c r="L397" s="241"/>
      <c r="M397" s="241"/>
    </row>
    <row r="398" spans="1:26" s="8" customFormat="1" x14ac:dyDescent="0.25">
      <c r="A398" s="427"/>
      <c r="B398" s="72"/>
      <c r="C398" s="72"/>
      <c r="D398" s="75"/>
      <c r="E398" s="72"/>
      <c r="F398" s="72"/>
      <c r="G398" s="74"/>
      <c r="H398" s="73"/>
      <c r="I398" s="73"/>
      <c r="J398" s="73"/>
      <c r="K398" s="79"/>
      <c r="L398" s="79"/>
      <c r="M398" s="79"/>
      <c r="N398"/>
      <c r="O398"/>
      <c r="P398"/>
      <c r="Q398"/>
      <c r="R398"/>
      <c r="S398"/>
      <c r="T398"/>
      <c r="U398"/>
      <c r="Y398"/>
      <c r="Z398"/>
    </row>
    <row r="399" spans="1:26" x14ac:dyDescent="0.25">
      <c r="A399" s="432"/>
      <c r="B399" s="535"/>
      <c r="C399" s="535"/>
      <c r="D399" s="547"/>
      <c r="E399" s="535"/>
      <c r="F399" s="535"/>
      <c r="G399" s="539"/>
      <c r="H399" s="537"/>
      <c r="I399" s="537"/>
      <c r="J399" s="537"/>
      <c r="K399" s="534"/>
      <c r="L399" s="534"/>
      <c r="M399" s="534"/>
      <c r="N399" s="8"/>
      <c r="O399" s="8"/>
      <c r="P399" s="8"/>
      <c r="Q399" s="8"/>
      <c r="R399" s="8"/>
      <c r="S399" s="8"/>
      <c r="T399" s="8"/>
      <c r="U399" s="8"/>
      <c r="Y399" s="8"/>
      <c r="Z399" s="8"/>
    </row>
    <row r="400" spans="1:26" s="5" customFormat="1" ht="28.05" customHeight="1" x14ac:dyDescent="0.3">
      <c r="A400" s="432"/>
      <c r="B400" s="219" t="s">
        <v>461</v>
      </c>
      <c r="C400" s="220"/>
      <c r="D400" s="220"/>
      <c r="E400" s="220"/>
      <c r="F400" s="964" t="s">
        <v>159</v>
      </c>
      <c r="G400" s="964"/>
      <c r="H400" s="964" t="s">
        <v>158</v>
      </c>
      <c r="I400" s="964"/>
      <c r="J400" s="964" t="s">
        <v>324</v>
      </c>
      <c r="K400" s="964"/>
      <c r="L400" s="222"/>
      <c r="M400" s="222"/>
      <c r="P400"/>
      <c r="Q400"/>
      <c r="R400"/>
      <c r="S400"/>
      <c r="T400"/>
      <c r="U400"/>
      <c r="Y400"/>
      <c r="Z400"/>
    </row>
    <row r="401" spans="1:26" ht="13.8" thickBot="1" x14ac:dyDescent="0.3">
      <c r="B401" s="220"/>
      <c r="C401" s="220"/>
      <c r="D401" s="220"/>
      <c r="E401" s="220"/>
      <c r="F401" s="220"/>
      <c r="G401" s="220"/>
      <c r="H401" s="221"/>
      <c r="I401" s="221"/>
      <c r="J401" s="222"/>
      <c r="K401" s="222"/>
      <c r="L401" s="222"/>
      <c r="M401" s="222"/>
      <c r="N401" s="5"/>
      <c r="O401" s="5"/>
      <c r="P401" s="5"/>
      <c r="Q401" s="5"/>
      <c r="R401" s="5"/>
      <c r="S401" s="5"/>
      <c r="T401" s="5"/>
      <c r="U401" s="5"/>
      <c r="Y401" s="5"/>
      <c r="Z401" s="5"/>
    </row>
    <row r="402" spans="1:26" ht="13.8" thickBot="1" x14ac:dyDescent="0.3">
      <c r="B402" s="220"/>
      <c r="C402" s="220" t="s">
        <v>519</v>
      </c>
      <c r="D402" s="222"/>
      <c r="E402" s="220"/>
      <c r="F402" s="96">
        <v>2</v>
      </c>
      <c r="G402" s="220" t="s">
        <v>0</v>
      </c>
      <c r="H402" s="99">
        <v>62</v>
      </c>
      <c r="I402" s="221" t="s">
        <v>11</v>
      </c>
      <c r="J402" s="223">
        <f t="shared" ref="J402:J404" si="39">F402*H402</f>
        <v>124</v>
      </c>
      <c r="K402" s="220" t="s">
        <v>14</v>
      </c>
      <c r="L402" s="222"/>
      <c r="M402" s="222"/>
    </row>
    <row r="403" spans="1:26" ht="13.8" thickBot="1" x14ac:dyDescent="0.3">
      <c r="B403" s="220"/>
      <c r="C403" s="220" t="s">
        <v>294</v>
      </c>
      <c r="D403" s="220"/>
      <c r="E403" s="220"/>
      <c r="F403" s="96"/>
      <c r="G403" s="220" t="s">
        <v>0</v>
      </c>
      <c r="H403" s="99"/>
      <c r="I403" s="221" t="s">
        <v>14</v>
      </c>
      <c r="J403" s="223">
        <f t="shared" si="39"/>
        <v>0</v>
      </c>
      <c r="K403" s="220" t="s">
        <v>14</v>
      </c>
      <c r="L403" s="222"/>
      <c r="M403" s="222"/>
    </row>
    <row r="404" spans="1:26" ht="13.8" thickBot="1" x14ac:dyDescent="0.3">
      <c r="B404" s="220"/>
      <c r="C404" s="220" t="s">
        <v>294</v>
      </c>
      <c r="D404" s="220"/>
      <c r="E404" s="220"/>
      <c r="F404" s="96"/>
      <c r="G404" s="220" t="s">
        <v>0</v>
      </c>
      <c r="H404" s="99"/>
      <c r="I404" s="221" t="s">
        <v>14</v>
      </c>
      <c r="J404" s="223">
        <f t="shared" si="39"/>
        <v>0</v>
      </c>
      <c r="K404" s="220" t="s">
        <v>14</v>
      </c>
      <c r="L404" s="222"/>
      <c r="M404" s="222"/>
    </row>
    <row r="405" spans="1:26" x14ac:dyDescent="0.25">
      <c r="B405" s="255"/>
      <c r="C405" s="255" t="s">
        <v>196</v>
      </c>
      <c r="D405" s="255"/>
      <c r="E405" s="255"/>
      <c r="F405" s="256"/>
      <c r="G405" s="255"/>
      <c r="H405" s="257"/>
      <c r="I405" s="258"/>
      <c r="J405" s="259">
        <f>SUM(J402:J404)</f>
        <v>124</v>
      </c>
      <c r="K405" s="255" t="s">
        <v>14</v>
      </c>
      <c r="L405" s="255"/>
      <c r="M405" s="255"/>
    </row>
    <row r="406" spans="1:26" s="8" customFormat="1" x14ac:dyDescent="0.25">
      <c r="A406" s="427"/>
      <c r="B406" s="220"/>
      <c r="C406" s="220"/>
      <c r="D406" s="220"/>
      <c r="E406" s="220"/>
      <c r="F406" s="220"/>
      <c r="G406" s="220"/>
      <c r="H406" s="221"/>
      <c r="I406" s="221"/>
      <c r="J406" s="223"/>
      <c r="K406" s="220"/>
      <c r="L406" s="222"/>
      <c r="M406" s="222"/>
      <c r="N406"/>
      <c r="O406"/>
      <c r="P406"/>
      <c r="Q406"/>
      <c r="R406"/>
      <c r="S406"/>
      <c r="T406"/>
      <c r="U406"/>
      <c r="Y406"/>
      <c r="Z406"/>
    </row>
    <row r="407" spans="1:26" x14ac:dyDescent="0.25">
      <c r="N407" s="8"/>
      <c r="O407" s="8"/>
      <c r="P407" s="8"/>
      <c r="Q407" s="8"/>
      <c r="R407" s="8"/>
      <c r="S407" s="8"/>
      <c r="T407" s="8"/>
      <c r="U407" s="8"/>
      <c r="Y407" s="8"/>
      <c r="Z407" s="8"/>
    </row>
    <row r="408" spans="1:26" ht="33" customHeight="1" x14ac:dyDescent="0.3">
      <c r="B408" s="225" t="s">
        <v>462</v>
      </c>
      <c r="C408" s="226"/>
      <c r="D408" s="226"/>
      <c r="E408" s="227"/>
      <c r="F408" s="226" t="s">
        <v>159</v>
      </c>
      <c r="G408" s="228"/>
      <c r="H408" s="228" t="s">
        <v>158</v>
      </c>
      <c r="I408" s="226"/>
      <c r="J408" s="226" t="s">
        <v>324</v>
      </c>
      <c r="K408" s="229"/>
      <c r="L408" s="229"/>
      <c r="M408" s="229"/>
    </row>
    <row r="409" spans="1:26" ht="16.2" thickBot="1" x14ac:dyDescent="0.35">
      <c r="B409" s="225"/>
      <c r="C409" s="226"/>
      <c r="D409" s="226"/>
      <c r="E409" s="227"/>
      <c r="F409" s="226"/>
      <c r="G409" s="228"/>
      <c r="H409" s="228"/>
      <c r="I409" s="226"/>
      <c r="J409" s="226"/>
      <c r="K409" s="229"/>
      <c r="L409" s="229"/>
      <c r="M409" s="229"/>
    </row>
    <row r="410" spans="1:26" ht="13.8" thickBot="1" x14ac:dyDescent="0.3">
      <c r="B410" s="226"/>
      <c r="C410" s="226" t="s">
        <v>463</v>
      </c>
      <c r="D410" s="229"/>
      <c r="E410" s="230"/>
      <c r="F410" s="96"/>
      <c r="G410" s="231" t="s">
        <v>18</v>
      </c>
      <c r="H410" s="96"/>
      <c r="I410" s="232" t="s">
        <v>10</v>
      </c>
      <c r="J410" s="229">
        <f>H410*F410</f>
        <v>0</v>
      </c>
      <c r="K410" s="232" t="s">
        <v>14</v>
      </c>
      <c r="L410" s="229"/>
      <c r="M410" s="229"/>
    </row>
    <row r="411" spans="1:26" ht="13.8" thickBot="1" x14ac:dyDescent="0.3">
      <c r="B411" s="226"/>
      <c r="C411" s="226" t="s">
        <v>450</v>
      </c>
      <c r="D411" s="232">
        <f>F430/2</f>
        <v>1</v>
      </c>
      <c r="E411" s="226" t="s">
        <v>9</v>
      </c>
      <c r="F411" s="96">
        <f>+D411*8</f>
        <v>8</v>
      </c>
      <c r="G411" s="228" t="s">
        <v>20</v>
      </c>
      <c r="H411" s="96">
        <v>0.83</v>
      </c>
      <c r="I411" s="232" t="s">
        <v>5</v>
      </c>
      <c r="J411" s="229">
        <f>H411*F411</f>
        <v>6.64</v>
      </c>
      <c r="K411" s="232" t="s">
        <v>14</v>
      </c>
      <c r="L411" s="229"/>
      <c r="M411" s="229"/>
    </row>
    <row r="412" spans="1:26" ht="13.8" thickBot="1" x14ac:dyDescent="0.3">
      <c r="B412" s="226"/>
      <c r="C412" s="226" t="s">
        <v>298</v>
      </c>
      <c r="D412" s="232">
        <f>D411</f>
        <v>1</v>
      </c>
      <c r="E412" s="226" t="s">
        <v>9</v>
      </c>
      <c r="F412" s="96">
        <v>11.88</v>
      </c>
      <c r="G412" s="228" t="s">
        <v>21</v>
      </c>
      <c r="H412" s="96">
        <v>4</v>
      </c>
      <c r="I412" s="232" t="s">
        <v>6</v>
      </c>
      <c r="J412" s="229">
        <f t="shared" ref="J412:J416" si="40">H412*F412</f>
        <v>47.52</v>
      </c>
      <c r="K412" s="232" t="s">
        <v>14</v>
      </c>
      <c r="L412" s="229"/>
      <c r="M412" s="229"/>
    </row>
    <row r="413" spans="1:26" ht="13.8" thickBot="1" x14ac:dyDescent="0.3">
      <c r="B413" s="226"/>
      <c r="C413" s="226" t="s">
        <v>19</v>
      </c>
      <c r="D413" s="229"/>
      <c r="E413" s="232"/>
      <c r="F413" s="96"/>
      <c r="G413" s="228" t="s">
        <v>20</v>
      </c>
      <c r="H413" s="96">
        <v>1.53</v>
      </c>
      <c r="I413" s="232" t="s">
        <v>5</v>
      </c>
      <c r="J413" s="229">
        <f t="shared" si="40"/>
        <v>0</v>
      </c>
      <c r="K413" s="232" t="s">
        <v>14</v>
      </c>
      <c r="L413" s="229"/>
      <c r="M413" s="229"/>
    </row>
    <row r="414" spans="1:26" ht="13.8" thickBot="1" x14ac:dyDescent="0.3">
      <c r="B414" s="226"/>
      <c r="C414" s="226" t="s">
        <v>299</v>
      </c>
      <c r="D414" s="229"/>
      <c r="E414" s="232"/>
      <c r="F414" s="96"/>
      <c r="G414" s="228" t="s">
        <v>20</v>
      </c>
      <c r="H414" s="96">
        <v>1.6</v>
      </c>
      <c r="I414" s="232" t="s">
        <v>5</v>
      </c>
      <c r="J414" s="229">
        <f t="shared" si="40"/>
        <v>0</v>
      </c>
      <c r="K414" s="232" t="s">
        <v>14</v>
      </c>
      <c r="L414" s="229"/>
      <c r="M414" s="229"/>
    </row>
    <row r="415" spans="1:26" ht="13.8" thickBot="1" x14ac:dyDescent="0.3">
      <c r="B415" s="226"/>
      <c r="C415" s="226" t="s">
        <v>300</v>
      </c>
      <c r="D415" s="229"/>
      <c r="E415" s="232"/>
      <c r="F415" s="96"/>
      <c r="G415" s="228"/>
      <c r="H415" s="96"/>
      <c r="I415" s="232"/>
      <c r="J415" s="229">
        <f t="shared" si="40"/>
        <v>0</v>
      </c>
      <c r="K415" s="232" t="s">
        <v>14</v>
      </c>
      <c r="L415" s="229"/>
      <c r="M415" s="229"/>
    </row>
    <row r="416" spans="1:26" ht="13.8" thickBot="1" x14ac:dyDescent="0.3">
      <c r="B416" s="229"/>
      <c r="C416" s="226" t="s">
        <v>300</v>
      </c>
      <c r="D416" s="229"/>
      <c r="E416" s="229"/>
      <c r="F416" s="96"/>
      <c r="G416" s="229"/>
      <c r="H416" s="96"/>
      <c r="I416" s="229"/>
      <c r="J416" s="229">
        <f t="shared" si="40"/>
        <v>0</v>
      </c>
      <c r="K416" s="232" t="s">
        <v>14</v>
      </c>
      <c r="L416" s="229"/>
      <c r="M416" s="229"/>
    </row>
    <row r="417" spans="1:26" x14ac:dyDescent="0.25">
      <c r="B417" s="260"/>
      <c r="C417" s="260" t="s">
        <v>196</v>
      </c>
      <c r="D417" s="260"/>
      <c r="E417" s="260"/>
      <c r="F417" s="261"/>
      <c r="G417" s="260"/>
      <c r="H417" s="261"/>
      <c r="I417" s="260"/>
      <c r="J417" s="260">
        <f>SUM(J410:J416)</f>
        <v>54.160000000000004</v>
      </c>
      <c r="K417" s="262" t="s">
        <v>14</v>
      </c>
      <c r="L417" s="260"/>
      <c r="M417" s="260"/>
    </row>
    <row r="418" spans="1:26" s="8" customFormat="1" x14ac:dyDescent="0.25">
      <c r="A418" s="427"/>
      <c r="B418" s="229"/>
      <c r="C418" s="229"/>
      <c r="D418" s="229"/>
      <c r="E418" s="229"/>
      <c r="F418" s="229"/>
      <c r="G418" s="229"/>
      <c r="H418" s="229"/>
      <c r="I418" s="229"/>
      <c r="J418" s="229"/>
      <c r="K418" s="229"/>
      <c r="L418" s="229"/>
      <c r="M418" s="229"/>
      <c r="N418"/>
      <c r="O418"/>
      <c r="P418"/>
      <c r="Q418"/>
      <c r="R418"/>
      <c r="S418"/>
      <c r="T418"/>
      <c r="U418"/>
      <c r="Y418"/>
      <c r="Z418"/>
    </row>
    <row r="419" spans="1:26" x14ac:dyDescent="0.25">
      <c r="N419" s="8"/>
      <c r="O419" s="8"/>
      <c r="P419" s="8"/>
      <c r="Q419" s="8"/>
      <c r="R419" s="8"/>
      <c r="S419" s="8"/>
      <c r="T419" s="8"/>
      <c r="U419" s="8"/>
      <c r="Y419" s="8"/>
      <c r="Z419" s="8"/>
    </row>
    <row r="420" spans="1:26" ht="40.049999999999997" customHeight="1" x14ac:dyDescent="0.3">
      <c r="B420" s="112" t="s">
        <v>520</v>
      </c>
      <c r="C420" s="101"/>
      <c r="D420" s="101"/>
      <c r="E420" s="101"/>
      <c r="F420" s="101"/>
      <c r="G420" s="101"/>
      <c r="H420" s="101"/>
      <c r="I420" s="101"/>
      <c r="J420" s="101"/>
      <c r="K420" s="101"/>
      <c r="L420" s="101"/>
      <c r="M420" s="101"/>
    </row>
    <row r="421" spans="1:26" ht="15.6" x14ac:dyDescent="0.3">
      <c r="B421" s="112"/>
      <c r="C421" s="101"/>
      <c r="D421" s="101"/>
      <c r="E421" s="101"/>
      <c r="F421" s="101"/>
      <c r="G421" s="101"/>
      <c r="H421" s="101"/>
      <c r="I421" s="101"/>
      <c r="J421" s="101"/>
      <c r="K421" s="101"/>
      <c r="L421" s="101"/>
      <c r="M421" s="101"/>
    </row>
    <row r="422" spans="1:26" ht="30" customHeight="1" x14ac:dyDescent="0.25">
      <c r="B422" s="961" t="s">
        <v>302</v>
      </c>
      <c r="C422" s="961"/>
      <c r="D422" s="961"/>
      <c r="E422" s="961"/>
      <c r="F422" s="961"/>
      <c r="G422" s="961"/>
      <c r="H422" s="961"/>
      <c r="I422" s="961"/>
      <c r="J422" s="961"/>
      <c r="K422" s="961"/>
      <c r="L422" s="961"/>
      <c r="M422" s="961"/>
    </row>
    <row r="423" spans="1:26" ht="37.950000000000003" customHeight="1" x14ac:dyDescent="0.3">
      <c r="B423" s="112"/>
      <c r="C423" s="101"/>
      <c r="D423" s="101"/>
      <c r="E423" s="834"/>
      <c r="F423" s="834"/>
      <c r="G423" s="834"/>
      <c r="H423" s="835"/>
      <c r="I423" s="835"/>
      <c r="J423" s="834"/>
      <c r="K423" s="834"/>
      <c r="L423" s="835"/>
      <c r="M423" s="835"/>
    </row>
    <row r="424" spans="1:26" ht="15.6" x14ac:dyDescent="0.3">
      <c r="B424" s="112"/>
      <c r="C424" s="101"/>
      <c r="D424" s="101"/>
      <c r="E424" s="962" t="s">
        <v>303</v>
      </c>
      <c r="F424" s="962"/>
      <c r="G424" s="962"/>
      <c r="H424" s="963" t="s">
        <v>158</v>
      </c>
      <c r="I424" s="963"/>
      <c r="J424" s="963" t="s">
        <v>304</v>
      </c>
      <c r="K424" s="963"/>
      <c r="L424" s="963" t="s">
        <v>158</v>
      </c>
      <c r="M424" s="963"/>
    </row>
    <row r="425" spans="1:26" ht="15.6" thickBot="1" x14ac:dyDescent="0.3">
      <c r="B425" s="100"/>
      <c r="C425" s="101"/>
      <c r="D425" s="101"/>
      <c r="E425" s="101"/>
      <c r="F425" s="101"/>
      <c r="G425" s="101"/>
      <c r="H425" s="101"/>
      <c r="I425" s="101"/>
      <c r="J425" s="101"/>
      <c r="K425" s="101"/>
      <c r="L425" s="101"/>
      <c r="M425" s="101"/>
    </row>
    <row r="426" spans="1:26" ht="13.8" thickBot="1" x14ac:dyDescent="0.3">
      <c r="B426" s="101"/>
      <c r="C426" s="102" t="s">
        <v>317</v>
      </c>
      <c r="D426" s="101"/>
      <c r="E426" s="101"/>
      <c r="F426" s="115">
        <v>2</v>
      </c>
      <c r="G426" s="104" t="s">
        <v>22</v>
      </c>
      <c r="H426" s="114">
        <f t="shared" ref="H426:H429" si="41">$H$166</f>
        <v>14.5</v>
      </c>
      <c r="I426" s="104" t="s">
        <v>11</v>
      </c>
      <c r="J426" s="116"/>
      <c r="K426" s="104" t="s">
        <v>22</v>
      </c>
      <c r="L426" s="114">
        <f t="shared" ref="L426:L429" si="42">$L$166</f>
        <v>14.5</v>
      </c>
      <c r="M426" s="104" t="s">
        <v>11</v>
      </c>
    </row>
    <row r="427" spans="1:26" ht="13.8" thickBot="1" x14ac:dyDescent="0.3">
      <c r="B427" s="101"/>
      <c r="C427" s="102" t="s">
        <v>431</v>
      </c>
      <c r="D427" s="101"/>
      <c r="E427" s="101"/>
      <c r="F427" s="116"/>
      <c r="G427" s="104" t="s">
        <v>22</v>
      </c>
      <c r="H427" s="114">
        <f t="shared" si="41"/>
        <v>14.5</v>
      </c>
      <c r="I427" s="104" t="s">
        <v>11</v>
      </c>
      <c r="J427" s="97"/>
      <c r="K427" s="104" t="s">
        <v>22</v>
      </c>
      <c r="L427" s="114">
        <f t="shared" si="42"/>
        <v>14.5</v>
      </c>
      <c r="M427" s="104" t="s">
        <v>11</v>
      </c>
    </row>
    <row r="428" spans="1:26" ht="13.8" thickBot="1" x14ac:dyDescent="0.3">
      <c r="B428" s="101"/>
      <c r="C428" s="102" t="s">
        <v>431</v>
      </c>
      <c r="D428" s="101"/>
      <c r="E428" s="101"/>
      <c r="F428" s="116"/>
      <c r="G428" s="104" t="s">
        <v>22</v>
      </c>
      <c r="H428" s="114">
        <f t="shared" si="41"/>
        <v>14.5</v>
      </c>
      <c r="I428" s="104" t="s">
        <v>11</v>
      </c>
      <c r="J428" s="97"/>
      <c r="K428" s="104" t="s">
        <v>22</v>
      </c>
      <c r="L428" s="114">
        <f t="shared" si="42"/>
        <v>14.5</v>
      </c>
      <c r="M428" s="104" t="s">
        <v>11</v>
      </c>
    </row>
    <row r="429" spans="1:26" ht="13.8" thickBot="1" x14ac:dyDescent="0.3">
      <c r="B429" s="101"/>
      <c r="C429" s="102" t="s">
        <v>431</v>
      </c>
      <c r="D429" s="103"/>
      <c r="E429" s="103"/>
      <c r="F429" s="97"/>
      <c r="G429" s="104" t="s">
        <v>22</v>
      </c>
      <c r="H429" s="114">
        <f t="shared" si="41"/>
        <v>14.5</v>
      </c>
      <c r="I429" s="104" t="s">
        <v>11</v>
      </c>
      <c r="J429" s="97"/>
      <c r="K429" s="104" t="s">
        <v>22</v>
      </c>
      <c r="L429" s="114">
        <f t="shared" si="42"/>
        <v>14.5</v>
      </c>
      <c r="M429" s="104" t="s">
        <v>11</v>
      </c>
    </row>
    <row r="430" spans="1:26" x14ac:dyDescent="0.25">
      <c r="B430" s="264"/>
      <c r="C430" s="265" t="s">
        <v>196</v>
      </c>
      <c r="D430" s="266"/>
      <c r="E430" s="266"/>
      <c r="F430" s="267">
        <f>SUM(F426:F429)</f>
        <v>2</v>
      </c>
      <c r="G430" s="264" t="s">
        <v>22</v>
      </c>
      <c r="H430" s="268">
        <f>F430*H166</f>
        <v>29</v>
      </c>
      <c r="I430" s="264" t="s">
        <v>14</v>
      </c>
      <c r="J430" s="269">
        <f>SUM(J426:J429)</f>
        <v>0</v>
      </c>
      <c r="K430" s="264" t="s">
        <v>22</v>
      </c>
      <c r="L430" s="268">
        <f>J430*L166</f>
        <v>0</v>
      </c>
      <c r="M430" s="264" t="s">
        <v>14</v>
      </c>
    </row>
    <row r="431" spans="1:26" s="8" customFormat="1" x14ac:dyDescent="0.25">
      <c r="A431" s="427"/>
      <c r="B431"/>
      <c r="C431"/>
      <c r="D431"/>
      <c r="E431"/>
      <c r="F431"/>
      <c r="G431"/>
      <c r="H431"/>
      <c r="I431"/>
      <c r="J431"/>
      <c r="K431"/>
      <c r="L431"/>
      <c r="M431"/>
      <c r="N431"/>
      <c r="O431"/>
      <c r="P431"/>
      <c r="Q431"/>
      <c r="R431"/>
      <c r="S431"/>
      <c r="T431"/>
      <c r="U431"/>
      <c r="Y431"/>
      <c r="Z431"/>
    </row>
    <row r="432" spans="1:26" x14ac:dyDescent="0.25">
      <c r="N432" s="8"/>
      <c r="O432" s="8"/>
      <c r="P432" s="8"/>
      <c r="Q432" s="8"/>
      <c r="R432" s="8"/>
      <c r="S432" s="8"/>
      <c r="T432" s="8"/>
      <c r="U432" s="8"/>
      <c r="Y432" s="8"/>
      <c r="Z432" s="8"/>
    </row>
  </sheetData>
  <mergeCells count="110">
    <mergeCell ref="O9:Q9"/>
    <mergeCell ref="T9:U9"/>
    <mergeCell ref="O18:Q18"/>
    <mergeCell ref="J299:K299"/>
    <mergeCell ref="B270:M270"/>
    <mergeCell ref="E272:G272"/>
    <mergeCell ref="H272:I272"/>
    <mergeCell ref="J272:K272"/>
    <mergeCell ref="L272:M272"/>
    <mergeCell ref="B288:E288"/>
    <mergeCell ref="F290:G290"/>
    <mergeCell ref="H290:I290"/>
    <mergeCell ref="J290:K290"/>
    <mergeCell ref="H196:I196"/>
    <mergeCell ref="J196:K196"/>
    <mergeCell ref="B183:E183"/>
    <mergeCell ref="B90:D90"/>
    <mergeCell ref="B102:D102"/>
    <mergeCell ref="B58:C58"/>
    <mergeCell ref="C61:D61"/>
    <mergeCell ref="B65:D65"/>
    <mergeCell ref="C68:D68"/>
    <mergeCell ref="B162:M162"/>
    <mergeCell ref="B79:C79"/>
    <mergeCell ref="C82:D82"/>
    <mergeCell ref="B84:D84"/>
    <mergeCell ref="B87:D87"/>
    <mergeCell ref="B98:D98"/>
    <mergeCell ref="B2:C2"/>
    <mergeCell ref="B4:L4"/>
    <mergeCell ref="B11:D11"/>
    <mergeCell ref="B53:E53"/>
    <mergeCell ref="B23:D23"/>
    <mergeCell ref="B55:D55"/>
    <mergeCell ref="B72:D72"/>
    <mergeCell ref="C75:D75"/>
    <mergeCell ref="B100:D100"/>
    <mergeCell ref="B54:E54"/>
    <mergeCell ref="F342:G342"/>
    <mergeCell ref="B104:E104"/>
    <mergeCell ref="F106:G106"/>
    <mergeCell ref="H106:I106"/>
    <mergeCell ref="J106:K106"/>
    <mergeCell ref="F117:G117"/>
    <mergeCell ref="H117:I117"/>
    <mergeCell ref="J117:K117"/>
    <mergeCell ref="F205:G205"/>
    <mergeCell ref="H205:I205"/>
    <mergeCell ref="J205:K205"/>
    <mergeCell ref="F185:G185"/>
    <mergeCell ref="H185:I185"/>
    <mergeCell ref="J185:K185"/>
    <mergeCell ref="F196:G196"/>
    <mergeCell ref="J183:L183"/>
    <mergeCell ref="J104:L104"/>
    <mergeCell ref="L164:M164"/>
    <mergeCell ref="F140:G140"/>
    <mergeCell ref="H140:I140"/>
    <mergeCell ref="J140:K140"/>
    <mergeCell ref="F126:G126"/>
    <mergeCell ref="H126:I126"/>
    <mergeCell ref="J126:K126"/>
    <mergeCell ref="J240:K240"/>
    <mergeCell ref="B422:M422"/>
    <mergeCell ref="E424:G424"/>
    <mergeCell ref="H424:I424"/>
    <mergeCell ref="J424:K424"/>
    <mergeCell ref="L424:M424"/>
    <mergeCell ref="H366:I366"/>
    <mergeCell ref="J366:K366"/>
    <mergeCell ref="L366:M366"/>
    <mergeCell ref="F321:G321"/>
    <mergeCell ref="H321:I321"/>
    <mergeCell ref="J321:K321"/>
    <mergeCell ref="F334:G334"/>
    <mergeCell ref="H334:I334"/>
    <mergeCell ref="J334:K334"/>
    <mergeCell ref="J382:L382"/>
    <mergeCell ref="F400:G400"/>
    <mergeCell ref="H400:I400"/>
    <mergeCell ref="J400:K400"/>
    <mergeCell ref="B382:E382"/>
    <mergeCell ref="B384:M384"/>
    <mergeCell ref="F386:G386"/>
    <mergeCell ref="H386:I386"/>
    <mergeCell ref="J386:K386"/>
    <mergeCell ref="L288:N288"/>
    <mergeCell ref="H342:I342"/>
    <mergeCell ref="J342:K342"/>
    <mergeCell ref="B364:M364"/>
    <mergeCell ref="E366:G366"/>
    <mergeCell ref="F313:G313"/>
    <mergeCell ref="H313:I313"/>
    <mergeCell ref="E164:G164"/>
    <mergeCell ref="H164:I164"/>
    <mergeCell ref="J164:K164"/>
    <mergeCell ref="J313:K313"/>
    <mergeCell ref="F248:G248"/>
    <mergeCell ref="H248:I248"/>
    <mergeCell ref="J248:K248"/>
    <mergeCell ref="F299:G299"/>
    <mergeCell ref="H299:I299"/>
    <mergeCell ref="F219:G219"/>
    <mergeCell ref="H219:I219"/>
    <mergeCell ref="J219:K219"/>
    <mergeCell ref="F227:G227"/>
    <mergeCell ref="H227:I227"/>
    <mergeCell ref="J227:K227"/>
    <mergeCell ref="F240:G240"/>
    <mergeCell ref="H240:I240"/>
  </mergeCells>
  <hyperlinks>
    <hyperlink ref="B2" location="Tilakokonaisuus!A1" display="PALAA ETUSIVULLE" xr:uid="{B8D4B57B-95FB-0349-B043-74EB42C794EC}"/>
    <hyperlink ref="B2:C2" location="'Gårdens info'!A1" display="TILL FRAMSIDAN" xr:uid="{B168301F-22DB-7C4D-B4D4-294B617BA531}"/>
    <hyperlink ref="B35" location="Buskblåbär!B300" display="SKÖRDEÅRENS KOSTNADER" xr:uid="{169AFD7F-1B07-4D4D-9F73-9CF6831ED49B}"/>
    <hyperlink ref="B46" location="Buskblåbär!B390" display="RÖJNINGSÅRETS KOSTNADER" xr:uid="{C220171B-EFB5-CB48-A2C8-8F46045CE9CB}"/>
    <hyperlink ref="B87" location="'Avomaan mansikka'!B41" display="PERUSTAMISVUODEN KUSTANNUKSET" xr:uid="{B7ECDFA6-C276-CD48-9ED5-F93F15A41B4B}"/>
    <hyperlink ref="B87:D87" location="Buskblåbär!B170" display="ETABLERINGSÅRETS KOSTNADER" xr:uid="{E249071C-F749-C44C-9FF7-B0082CC7E798}"/>
    <hyperlink ref="B53:E53" location="'Gårdens info'!C131" display="ALLMÄNNA KOSTNADER, buskblåbärens andel" xr:uid="{41B13138-3F30-B145-B9EF-ED970B62FA58}"/>
    <hyperlink ref="B23" location="'Avomaan mansikka'!B41" display="PERUSTAMISVUODEN KUSTANNUKSET" xr:uid="{E7D7A7FE-0B28-4D4A-88AE-CCAC6D0A4FB7}"/>
    <hyperlink ref="B23:D23" location="Buskblåbär!B190" display="FÖRODLINSÅRETS KOSTNADER" xr:uid="{3720DB35-1A75-084F-9A0E-A3545CA7956D}"/>
    <hyperlink ref="B90" location="'Avomaan mansikka'!B41" display="PERUSTAMISVUODEN KUSTANNUKSET" xr:uid="{CD5B1DB4-F554-DB46-AAC6-DEF2473870F4}"/>
    <hyperlink ref="B90:D90" location="Buskblåbär!B280" display="FÖRODLINSGÅRENS KOSTNADER" xr:uid="{6F9DF54E-3CE2-034A-8DAD-C9A3A233459A}"/>
    <hyperlink ref="B93" location="Buskblåbär!B370" display="SKÖRDEÅRENS KOSTNADER" xr:uid="{591B8760-5273-CE4E-A3E7-629DC2BB315B}"/>
    <hyperlink ref="B96" location="Buskblåbär!B430" display="RÖJNINGSÅRENS KOSTNADER" xr:uid="{B653151D-B282-8D41-865F-09F1F6663C12}"/>
    <hyperlink ref="J382:L382" location="Buskblåbär!A1" display="TILL SIDANS BÖRJAN" xr:uid="{4B03A36E-6AF3-364C-A261-56BAB9F4293A}"/>
    <hyperlink ref="J183:L183" location="Buskblåbär!A1" display="TILL SIDANS BÖRJAN" xr:uid="{86E21578-AF60-2240-8CBA-C5F9FD646AA3}"/>
    <hyperlink ref="J104:L104" location="Buskblåbär!A1" display="TILL SIDANS BÖRJAN" xr:uid="{ADF7F081-7054-304F-B50F-1A65DC033DBB}"/>
    <hyperlink ref="B58:C58" location="Ägendom!B15" display="BYGGNADER" xr:uid="{94F044E5-D6CD-44AD-BD5E-0E49A1A657E3}"/>
    <hyperlink ref="B65:D65" location="Ägendom!B28" display="MASINER OCH UTRUSTNING" xr:uid="{956A0A64-1304-43E2-BFA3-A9C88EB09BD7}"/>
    <hyperlink ref="B72:D72" location="Ägendom!B51" display="LÅNGVARIGA PRODUKTIONSMEDEL" xr:uid="{32A6F772-17AA-4163-986B-16E0D55D7FA3}"/>
    <hyperlink ref="B79:C79" location="Ägendom!B70" display="TÄCKDIKEN" xr:uid="{A33E17E2-9647-4575-9C9C-34290890DCB4}"/>
    <hyperlink ref="L288:N288" location="Buskblåbär!A1" display="TILL SIDANS BÖRJAN" xr:uid="{5306E17D-3A4C-48CA-984E-A5DC0B0A5E5D}"/>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DDB33-4300-654C-9A85-54538EAF06FC}">
  <sheetPr>
    <tabColor rgb="FFFFFF00"/>
  </sheetPr>
  <dimension ref="A1:Z448"/>
  <sheetViews>
    <sheetView topLeftCell="J29" zoomScaleNormal="100" workbookViewId="0">
      <selection activeCell="L166" sqref="E166:M166"/>
    </sheetView>
  </sheetViews>
  <sheetFormatPr defaultColWidth="11.44140625" defaultRowHeight="13.2" x14ac:dyDescent="0.25"/>
  <cols>
    <col min="1" max="1" width="5.33203125" style="129" customWidth="1"/>
    <col min="3" max="3" width="16.77734375" customWidth="1"/>
    <col min="4" max="4" width="22.6640625" customWidth="1"/>
    <col min="5" max="5" width="12.109375" bestFit="1" customWidth="1"/>
    <col min="7" max="7" width="6.33203125" customWidth="1"/>
    <col min="9" max="9" width="6" customWidth="1"/>
    <col min="10" max="10" width="15.109375" customWidth="1"/>
    <col min="11" max="11" width="9.6640625" customWidth="1"/>
    <col min="12" max="12" width="20" customWidth="1"/>
    <col min="13" max="13" width="12.109375" customWidth="1"/>
    <col min="27" max="27" width="19" customWidth="1"/>
  </cols>
  <sheetData>
    <row r="1" spans="1:21" s="129" customFormat="1" ht="22.8" x14ac:dyDescent="0.4">
      <c r="B1" s="376" t="s">
        <v>127</v>
      </c>
    </row>
    <row r="2" spans="1:21" ht="27" customHeight="1" x14ac:dyDescent="0.3">
      <c r="B2" s="976" t="s">
        <v>337</v>
      </c>
      <c r="C2" s="976"/>
    </row>
    <row r="3" spans="1:21" ht="27" customHeight="1" x14ac:dyDescent="0.3">
      <c r="B3" s="479"/>
      <c r="C3" s="479"/>
    </row>
    <row r="4" spans="1:21" ht="139.94999999999999" customHeight="1" x14ac:dyDescent="0.3">
      <c r="B4" s="942" t="s">
        <v>371</v>
      </c>
      <c r="C4" s="942"/>
      <c r="D4" s="942"/>
      <c r="E4" s="942"/>
      <c r="F4" s="942"/>
      <c r="G4" s="942"/>
      <c r="H4" s="942"/>
      <c r="I4" s="942"/>
      <c r="J4" s="942"/>
      <c r="K4" s="942"/>
      <c r="L4" s="942"/>
    </row>
    <row r="5" spans="1:21" ht="27" customHeight="1" thickBot="1" x14ac:dyDescent="0.35">
      <c r="B5" s="479"/>
      <c r="C5" s="479"/>
    </row>
    <row r="6" spans="1:21" ht="27" customHeight="1" x14ac:dyDescent="0.4">
      <c r="B6" s="318" t="s">
        <v>374</v>
      </c>
      <c r="C6" s="282"/>
      <c r="D6" s="283"/>
      <c r="E6" s="283"/>
      <c r="F6" s="283"/>
      <c r="G6" s="283"/>
      <c r="H6" s="283"/>
      <c r="I6" s="283"/>
      <c r="J6" s="283"/>
      <c r="K6" s="283"/>
      <c r="L6" s="283"/>
      <c r="M6" s="284"/>
      <c r="N6" s="441"/>
      <c r="O6" s="283"/>
      <c r="P6" s="283"/>
      <c r="Q6" s="283"/>
      <c r="R6" s="283"/>
      <c r="S6" s="283"/>
      <c r="T6" s="283"/>
      <c r="U6" s="284"/>
    </row>
    <row r="7" spans="1:21" ht="27" customHeight="1" x14ac:dyDescent="0.4">
      <c r="B7" s="285"/>
      <c r="C7" s="286"/>
      <c r="D7" s="148"/>
      <c r="E7" s="148"/>
      <c r="F7" s="148"/>
      <c r="G7" s="148"/>
      <c r="H7" s="148"/>
      <c r="I7" s="148"/>
      <c r="J7" s="148"/>
      <c r="K7" s="148"/>
      <c r="L7" s="148"/>
      <c r="M7" s="287"/>
      <c r="N7" s="442"/>
      <c r="O7" s="148"/>
      <c r="P7" s="148"/>
      <c r="Q7" s="148"/>
      <c r="R7" s="148"/>
      <c r="S7" s="148"/>
      <c r="T7" s="148"/>
      <c r="U7" s="287"/>
    </row>
    <row r="8" spans="1:21" ht="21" x14ac:dyDescent="0.4">
      <c r="B8" s="319" t="s">
        <v>373</v>
      </c>
      <c r="C8" s="286"/>
      <c r="D8" s="148"/>
      <c r="E8" s="151"/>
      <c r="F8" s="151"/>
      <c r="G8" s="151"/>
      <c r="H8" s="151"/>
      <c r="I8" s="148"/>
      <c r="J8" s="148"/>
      <c r="K8" s="148"/>
      <c r="L8" s="148"/>
      <c r="M8" s="287"/>
      <c r="N8" s="319" t="s">
        <v>239</v>
      </c>
      <c r="O8" s="148"/>
      <c r="P8" s="148"/>
      <c r="Q8" s="148"/>
      <c r="R8" s="148"/>
      <c r="S8" s="148"/>
      <c r="T8" s="148"/>
      <c r="U8" s="300"/>
    </row>
    <row r="9" spans="1:21" ht="16.2" thickBot="1" x14ac:dyDescent="0.35">
      <c r="B9" s="288"/>
      <c r="C9" s="289" t="s">
        <v>239</v>
      </c>
      <c r="D9" s="151"/>
      <c r="E9" s="151"/>
      <c r="F9" s="290">
        <f>IF('Gårdens info'!D28&gt;0,H9*'Gårdens info'!G28,0)</f>
        <v>23233.333333333332</v>
      </c>
      <c r="G9" s="151" t="s">
        <v>14</v>
      </c>
      <c r="H9" s="619">
        <f>IF('Gårdens info'!G28&gt;0,(('Gårdens info'!G28*S10*T10)+('Gårdens info'!G28*S11*T11)+('Gårdens info'!G28*S12*T12)+('Gårdens info'!G28*S13*T13)+('Gårdens info'!G28*S14*T14)+('Gårdens info'!G28*S15*T15)+('Gårdens info'!G28*S16*T16)+('Gårdens info'!G28*S17*T17))/(('Gårdens info'!G28)),0)</f>
        <v>1.7</v>
      </c>
      <c r="I9" s="151" t="s">
        <v>6</v>
      </c>
      <c r="J9" s="290">
        <f>F9*'Gårdens info'!D28</f>
        <v>69700</v>
      </c>
      <c r="K9" s="151" t="s">
        <v>580</v>
      </c>
      <c r="L9" s="151"/>
      <c r="M9" s="287"/>
      <c r="N9" s="442"/>
      <c r="O9" s="943" t="s">
        <v>366</v>
      </c>
      <c r="P9" s="943"/>
      <c r="Q9" s="943"/>
      <c r="R9" s="471" t="s">
        <v>339</v>
      </c>
      <c r="S9" s="444" t="s">
        <v>48</v>
      </c>
      <c r="T9" s="967" t="s">
        <v>340</v>
      </c>
      <c r="U9" s="968"/>
    </row>
    <row r="10" spans="1:21" ht="15.6" thickBot="1" x14ac:dyDescent="0.3">
      <c r="B10" s="288"/>
      <c r="C10" s="151" t="s">
        <v>224</v>
      </c>
      <c r="D10" s="151"/>
      <c r="E10" s="151"/>
      <c r="F10" s="290">
        <f>IF('Gårdens info'!D28&gt;0,Stöd!J6/'Gårdens info'!D37*Stöd!L6+Stöd!J7/'Gårdens info'!D37*Stöd!L7+Stöd!J8/'Gårdens info'!D37*Stöd!L8+Stöd!J12/'Gårdens info'!D37*Stöd!L12+Stöd!J13/'Gårdens info'!D37*Stöd!L13+Stöd!J15/'Gårdens info'!D37*Stöd!L15+Stöd!J16/'Gårdens info'!D37*Stöd!L16+Stöd!J18/'Gårdens info'!D37*Stöd!L18+Stöd!J19/'Gårdens info'!D37*Stöd!L19+Stöd!J20/'Gårdens info'!D37*Stöd!L20+Stöd!J21/'Gårdens info'!D37*Stöd!L21,0)</f>
        <v>0</v>
      </c>
      <c r="G10" s="151" t="s">
        <v>14</v>
      </c>
      <c r="H10" s="619">
        <f>IF('Gårdens info'!G28&gt;0,F10/'Gårdens info'!G28,0)</f>
        <v>0</v>
      </c>
      <c r="I10" s="151" t="s">
        <v>6</v>
      </c>
      <c r="J10" s="290">
        <f>F10*'Gårdens info'!D28</f>
        <v>0</v>
      </c>
      <c r="K10" s="151" t="s">
        <v>580</v>
      </c>
      <c r="L10" s="151"/>
      <c r="M10" s="287"/>
      <c r="N10" s="442"/>
      <c r="O10" s="151">
        <v>1</v>
      </c>
      <c r="P10" s="151" t="s">
        <v>21</v>
      </c>
      <c r="Q10" s="151" t="s">
        <v>361</v>
      </c>
      <c r="R10" s="151"/>
      <c r="S10" s="452">
        <v>0.5</v>
      </c>
      <c r="T10" s="317">
        <v>1.7</v>
      </c>
      <c r="U10" s="300" t="s">
        <v>6</v>
      </c>
    </row>
    <row r="11" spans="1:21" s="8" customFormat="1" ht="21.6" customHeight="1" thickBot="1" x14ac:dyDescent="0.45">
      <c r="A11" s="369"/>
      <c r="B11" s="932" t="s">
        <v>240</v>
      </c>
      <c r="C11" s="933"/>
      <c r="D11" s="933"/>
      <c r="E11" s="324"/>
      <c r="F11" s="328">
        <f>F9+F10</f>
        <v>23233.333333333332</v>
      </c>
      <c r="G11" s="329" t="s">
        <v>14</v>
      </c>
      <c r="H11" s="618">
        <f>H9+H10</f>
        <v>1.7</v>
      </c>
      <c r="I11" s="329" t="s">
        <v>6</v>
      </c>
      <c r="J11" s="331">
        <f>J9+J10</f>
        <v>69700</v>
      </c>
      <c r="K11" s="329" t="s">
        <v>580</v>
      </c>
      <c r="L11" s="329"/>
      <c r="M11" s="321"/>
      <c r="N11" s="445"/>
      <c r="O11" s="151">
        <v>5</v>
      </c>
      <c r="P11" s="151" t="s">
        <v>21</v>
      </c>
      <c r="Q11" s="151" t="s">
        <v>390</v>
      </c>
      <c r="R11" s="151"/>
      <c r="S11" s="454">
        <v>0</v>
      </c>
      <c r="T11" s="317"/>
      <c r="U11" s="300" t="s">
        <v>6</v>
      </c>
    </row>
    <row r="12" spans="1:21" ht="21" customHeight="1" thickBot="1" x14ac:dyDescent="0.45">
      <c r="B12" s="832"/>
      <c r="C12" s="833"/>
      <c r="D12" s="833"/>
      <c r="E12" s="148"/>
      <c r="F12" s="148"/>
      <c r="G12" s="148"/>
      <c r="H12" s="148"/>
      <c r="I12" s="148"/>
      <c r="J12" s="293"/>
      <c r="K12" s="148"/>
      <c r="L12" s="148"/>
      <c r="M12" s="287"/>
      <c r="N12" s="445"/>
      <c r="O12" s="151">
        <v>3</v>
      </c>
      <c r="P12" s="151" t="s">
        <v>21</v>
      </c>
      <c r="Q12" s="151" t="s">
        <v>333</v>
      </c>
      <c r="R12" s="151"/>
      <c r="S12" s="454">
        <v>0</v>
      </c>
      <c r="T12" s="317"/>
      <c r="U12" s="300" t="s">
        <v>6</v>
      </c>
    </row>
    <row r="13" spans="1:21" ht="18" thickBot="1" x14ac:dyDescent="0.35">
      <c r="B13" s="292"/>
      <c r="C13" s="286"/>
      <c r="D13" s="148"/>
      <c r="E13" s="148"/>
      <c r="F13" s="148"/>
      <c r="G13" s="148"/>
      <c r="H13" s="148"/>
      <c r="I13" s="148"/>
      <c r="J13" s="293"/>
      <c r="K13" s="148"/>
      <c r="L13" s="148"/>
      <c r="M13" s="287"/>
      <c r="N13" s="442"/>
      <c r="O13" s="151">
        <v>10</v>
      </c>
      <c r="P13" s="151" t="s">
        <v>21</v>
      </c>
      <c r="Q13" s="151" t="s">
        <v>390</v>
      </c>
      <c r="R13" s="151"/>
      <c r="S13" s="454">
        <v>0</v>
      </c>
      <c r="T13" s="317"/>
      <c r="U13" s="300" t="s">
        <v>6</v>
      </c>
    </row>
    <row r="14" spans="1:21" s="77" customFormat="1" ht="21.6" thickBot="1" x14ac:dyDescent="0.45">
      <c r="A14" s="370"/>
      <c r="B14" s="319" t="s">
        <v>241</v>
      </c>
      <c r="C14" s="286"/>
      <c r="D14" s="148"/>
      <c r="E14" s="153"/>
      <c r="F14" s="153"/>
      <c r="G14" s="153"/>
      <c r="H14" s="153"/>
      <c r="I14" s="153"/>
      <c r="J14" s="294"/>
      <c r="K14" s="153"/>
      <c r="L14" s="153"/>
      <c r="M14" s="295"/>
      <c r="N14" s="442"/>
      <c r="O14" s="151">
        <v>0.5</v>
      </c>
      <c r="P14" s="151" t="s">
        <v>21</v>
      </c>
      <c r="Q14" s="151" t="s">
        <v>333</v>
      </c>
      <c r="R14" s="151"/>
      <c r="S14" s="454">
        <v>0.5</v>
      </c>
      <c r="T14" s="317">
        <v>1.7</v>
      </c>
      <c r="U14" s="300" t="s">
        <v>6</v>
      </c>
    </row>
    <row r="15" spans="1:21" s="91" customFormat="1" ht="15.6" thickBot="1" x14ac:dyDescent="0.3">
      <c r="A15" s="371"/>
      <c r="B15" s="296"/>
      <c r="C15" s="289" t="s">
        <v>385</v>
      </c>
      <c r="D15" s="297"/>
      <c r="E15" s="297"/>
      <c r="F15" s="298">
        <f>IF('Gårdens info'!$D$28&gt;0,J114/'Gårdens info'!$I$28,0)</f>
        <v>605.33333333333337</v>
      </c>
      <c r="G15" s="151" t="s">
        <v>14</v>
      </c>
      <c r="H15" s="614">
        <f>IF('Gårdens info'!$G$28&gt;0,F15/'Gårdens info'!$G$28,0)</f>
        <v>4.4292682926829273E-2</v>
      </c>
      <c r="I15" s="151" t="s">
        <v>6</v>
      </c>
      <c r="J15" s="298">
        <f>F15*'Gårdens info'!$D$28</f>
        <v>1816</v>
      </c>
      <c r="K15" s="151" t="s">
        <v>580</v>
      </c>
      <c r="L15" s="297"/>
      <c r="M15" s="300"/>
      <c r="N15" s="442"/>
      <c r="O15" s="812">
        <f>D342</f>
        <v>0</v>
      </c>
      <c r="P15" s="151" t="s">
        <v>21</v>
      </c>
      <c r="Q15" s="151" t="str">
        <f>C342</f>
        <v>förpackning X</v>
      </c>
      <c r="R15" s="151"/>
      <c r="S15" s="454">
        <v>0</v>
      </c>
      <c r="T15" s="317"/>
      <c r="U15" s="300" t="s">
        <v>6</v>
      </c>
    </row>
    <row r="16" spans="1:21" s="91" customFormat="1" ht="15.6" thickBot="1" x14ac:dyDescent="0.3">
      <c r="A16" s="371"/>
      <c r="B16" s="296"/>
      <c r="C16" s="289" t="s">
        <v>244</v>
      </c>
      <c r="D16" s="297"/>
      <c r="E16" s="297"/>
      <c r="F16" s="298">
        <f>IF('Gårdens info'!$D$28&gt;0,J125/'Gårdens info'!$I$28,0)</f>
        <v>801.33333333333337</v>
      </c>
      <c r="G16" s="151" t="s">
        <v>14</v>
      </c>
      <c r="H16" s="614">
        <f>IF('Gårdens info'!$G$28&gt;0,F16/'Gårdens info'!$G$28,0)</f>
        <v>5.8634146341463418E-2</v>
      </c>
      <c r="I16" s="151" t="s">
        <v>6</v>
      </c>
      <c r="J16" s="298">
        <f>F16*'Gårdens info'!$D$28</f>
        <v>2404</v>
      </c>
      <c r="K16" s="151" t="s">
        <v>580</v>
      </c>
      <c r="L16" s="297"/>
      <c r="M16" s="300"/>
      <c r="N16" s="442"/>
      <c r="O16" s="812">
        <f t="shared" ref="O16:O17" si="0">D343</f>
        <v>0</v>
      </c>
      <c r="P16" s="151" t="s">
        <v>21</v>
      </c>
      <c r="Q16" s="151" t="str">
        <f t="shared" ref="Q16:Q17" si="1">C343</f>
        <v>förpackning X</v>
      </c>
      <c r="R16" s="151"/>
      <c r="S16" s="454">
        <v>0</v>
      </c>
      <c r="T16" s="317"/>
      <c r="U16" s="300" t="s">
        <v>6</v>
      </c>
    </row>
    <row r="17" spans="1:26" s="91" customFormat="1" ht="15.6" thickBot="1" x14ac:dyDescent="0.3">
      <c r="A17" s="371"/>
      <c r="B17" s="296"/>
      <c r="C17" s="289" t="s">
        <v>386</v>
      </c>
      <c r="D17" s="297"/>
      <c r="E17" s="297"/>
      <c r="F17" s="298">
        <f>IF('Gårdens info'!$D$28&gt;0,J139/'Gårdens info'!$I$28,0)</f>
        <v>3.6959999999999997</v>
      </c>
      <c r="G17" s="151" t="s">
        <v>14</v>
      </c>
      <c r="H17" s="614">
        <f>IF('Gårdens info'!$G$28&gt;0,F17/'Gårdens info'!$G$28,0)</f>
        <v>2.7043902439024387E-4</v>
      </c>
      <c r="I17" s="151" t="s">
        <v>6</v>
      </c>
      <c r="J17" s="298">
        <f>F17*'Gårdens info'!$D$28</f>
        <v>11.087999999999999</v>
      </c>
      <c r="K17" s="151" t="s">
        <v>580</v>
      </c>
      <c r="L17" s="297"/>
      <c r="M17" s="300"/>
      <c r="N17" s="442"/>
      <c r="O17" s="812">
        <f t="shared" si="0"/>
        <v>0</v>
      </c>
      <c r="P17" s="151" t="s">
        <v>21</v>
      </c>
      <c r="Q17" s="151" t="str">
        <f t="shared" si="1"/>
        <v>förpackning X</v>
      </c>
      <c r="R17" s="151"/>
      <c r="S17" s="453">
        <v>0</v>
      </c>
      <c r="T17" s="317"/>
      <c r="U17" s="300" t="s">
        <v>6</v>
      </c>
    </row>
    <row r="18" spans="1:26" s="91" customFormat="1" ht="17.399999999999999" x14ac:dyDescent="0.3">
      <c r="A18" s="371"/>
      <c r="B18" s="296"/>
      <c r="C18" s="289" t="s">
        <v>387</v>
      </c>
      <c r="D18" s="297"/>
      <c r="E18" s="297"/>
      <c r="F18" s="298">
        <f>IF('Gårdens info'!$D$28&gt;0,J147/'Gårdens info'!$I$28,0)</f>
        <v>0</v>
      </c>
      <c r="G18" s="151" t="s">
        <v>14</v>
      </c>
      <c r="H18" s="614">
        <f>IF('Gårdens info'!$G$28&gt;0,F18/'Gårdens info'!$G$28,0)</f>
        <v>0</v>
      </c>
      <c r="I18" s="151" t="s">
        <v>6</v>
      </c>
      <c r="J18" s="298">
        <f>F18*'Gårdens info'!$D$28</f>
        <v>0</v>
      </c>
      <c r="K18" s="151" t="s">
        <v>580</v>
      </c>
      <c r="L18" s="297"/>
      <c r="M18" s="300"/>
      <c r="N18" s="446"/>
      <c r="O18" s="946" t="s">
        <v>196</v>
      </c>
      <c r="P18" s="946"/>
      <c r="Q18" s="946"/>
      <c r="R18" s="153"/>
      <c r="S18" s="450">
        <f>SUM(S10:S17)</f>
        <v>1</v>
      </c>
      <c r="T18" s="153"/>
      <c r="U18" s="295"/>
    </row>
    <row r="19" spans="1:26" s="91" customFormat="1" ht="15.6" x14ac:dyDescent="0.3">
      <c r="A19" s="371"/>
      <c r="B19" s="296"/>
      <c r="C19" s="289" t="s">
        <v>249</v>
      </c>
      <c r="D19" s="297"/>
      <c r="E19" s="297"/>
      <c r="F19" s="298">
        <f>IF('Gårdens info'!$D$28&gt;0,J159/'Gårdens info'!$I$28,0)</f>
        <v>60.356533333333331</v>
      </c>
      <c r="G19" s="151" t="s">
        <v>14</v>
      </c>
      <c r="H19" s="614">
        <f>IF('Gårdens info'!$G$28&gt;0,F19/'Gårdens info'!$G$28,0)</f>
        <v>4.4163317073170729E-3</v>
      </c>
      <c r="I19" s="151" t="s">
        <v>6</v>
      </c>
      <c r="J19" s="298">
        <f>F19*'Gårdens info'!$D$28</f>
        <v>181.06959999999998</v>
      </c>
      <c r="K19" s="151" t="s">
        <v>580</v>
      </c>
      <c r="L19" s="297"/>
      <c r="M19" s="300"/>
      <c r="N19" s="288"/>
      <c r="O19" s="451" t="str">
        <f>IF(S18=100%," ","HUOM! Osuus myyynneistä pitää summautua 100 prosenttiin")</f>
        <v xml:space="preserve"> </v>
      </c>
      <c r="P19" s="151"/>
      <c r="R19" s="151"/>
      <c r="S19" s="151"/>
      <c r="T19" s="151"/>
      <c r="U19" s="300"/>
    </row>
    <row r="20" spans="1:26" s="91" customFormat="1" ht="15.6" thickBot="1" x14ac:dyDescent="0.3">
      <c r="A20" s="371"/>
      <c r="B20" s="296"/>
      <c r="C20" s="289" t="s">
        <v>388</v>
      </c>
      <c r="D20" s="297"/>
      <c r="E20" s="297"/>
      <c r="F20" s="298">
        <f>IF('Gårdens info'!$D$28&gt;0,L185/'Gårdens info'!$I$28,0)</f>
        <v>62.833333333333336</v>
      </c>
      <c r="G20" s="151" t="s">
        <v>14</v>
      </c>
      <c r="H20" s="614">
        <f>IF('Gårdens info'!$G$28&gt;0,F20/'Gårdens info'!$G$28,0)</f>
        <v>4.5975609756097567E-3</v>
      </c>
      <c r="I20" s="151" t="s">
        <v>6</v>
      </c>
      <c r="J20" s="298">
        <f>F20*'Gårdens info'!$D$28</f>
        <v>188.5</v>
      </c>
      <c r="K20" s="151" t="s">
        <v>580</v>
      </c>
      <c r="L20" s="297"/>
      <c r="M20" s="300"/>
      <c r="N20" s="447"/>
      <c r="O20" s="448"/>
      <c r="P20" s="448"/>
      <c r="Q20" s="448"/>
      <c r="R20" s="448"/>
      <c r="S20" s="448"/>
      <c r="T20" s="448"/>
      <c r="U20" s="449"/>
    </row>
    <row r="21" spans="1:26" s="91" customFormat="1" ht="15.6" x14ac:dyDescent="0.3">
      <c r="A21" s="371"/>
      <c r="B21" s="296"/>
      <c r="C21" s="301" t="s">
        <v>196</v>
      </c>
      <c r="D21" s="302"/>
      <c r="E21" s="302"/>
      <c r="F21" s="303">
        <f>SUM(F15:F20)</f>
        <v>1533.5525333333333</v>
      </c>
      <c r="G21" s="304" t="s">
        <v>14</v>
      </c>
      <c r="H21" s="615">
        <f>SUM(H15:H20)</f>
        <v>0.11221116097560976</v>
      </c>
      <c r="I21" s="304" t="s">
        <v>6</v>
      </c>
      <c r="J21" s="303">
        <f>SUM(J15:J20)</f>
        <v>4600.6575999999995</v>
      </c>
      <c r="K21" s="304" t="s">
        <v>580</v>
      </c>
      <c r="L21" s="302"/>
      <c r="M21" s="300"/>
    </row>
    <row r="22" spans="1:26" ht="17.399999999999999" x14ac:dyDescent="0.3">
      <c r="B22" s="292"/>
      <c r="C22" s="306"/>
      <c r="D22" s="307"/>
      <c r="E22" s="307"/>
      <c r="F22" s="308"/>
      <c r="G22" s="151"/>
      <c r="H22" s="307"/>
      <c r="I22" s="307"/>
      <c r="J22" s="307"/>
      <c r="K22" s="307"/>
      <c r="L22" s="307"/>
      <c r="M22" s="287"/>
      <c r="N22" s="91"/>
      <c r="O22" s="91"/>
      <c r="P22" s="91"/>
      <c r="Q22" s="91"/>
      <c r="R22" s="91"/>
      <c r="S22" s="91"/>
      <c r="T22" s="91"/>
      <c r="U22" s="91"/>
    </row>
    <row r="23" spans="1:26" s="77" customFormat="1" ht="17.399999999999999" x14ac:dyDescent="0.3">
      <c r="A23" s="370"/>
      <c r="B23" s="987" t="s">
        <v>92</v>
      </c>
      <c r="C23" s="988"/>
      <c r="D23" s="988"/>
      <c r="E23" s="153"/>
      <c r="F23" s="153"/>
      <c r="G23" s="153"/>
      <c r="H23" s="153"/>
      <c r="I23" s="153"/>
      <c r="J23" s="294"/>
      <c r="K23" s="153"/>
      <c r="L23" s="153"/>
      <c r="M23" s="295"/>
      <c r="N23"/>
      <c r="O23"/>
      <c r="P23"/>
      <c r="Q23"/>
      <c r="R23"/>
      <c r="S23"/>
      <c r="T23"/>
      <c r="U23"/>
    </row>
    <row r="24" spans="1:26" s="91" customFormat="1" ht="17.399999999999999" x14ac:dyDescent="0.3">
      <c r="A24" s="371"/>
      <c r="B24" s="296"/>
      <c r="C24" s="289" t="s">
        <v>579</v>
      </c>
      <c r="D24" s="297"/>
      <c r="E24" s="297"/>
      <c r="F24" s="298">
        <f>IF('Gårdens info'!$D$28&gt;0,J197*'Gårdens info'!K28/'Gårdens info'!$I$28,0)</f>
        <v>68</v>
      </c>
      <c r="G24" s="151" t="s">
        <v>14</v>
      </c>
      <c r="H24" s="614">
        <f>IF('Gårdens info'!$G$28&gt;0,F24/'Gårdens info'!$G$28,0)</f>
        <v>4.9756097560975611E-3</v>
      </c>
      <c r="I24" s="151" t="s">
        <v>6</v>
      </c>
      <c r="J24" s="298">
        <f>F24*'Gårdens info'!$D$28</f>
        <v>204</v>
      </c>
      <c r="K24" s="151" t="s">
        <v>580</v>
      </c>
      <c r="L24" s="297"/>
      <c r="M24" s="300"/>
      <c r="N24" s="77"/>
      <c r="O24" s="77"/>
      <c r="P24" s="77"/>
      <c r="Q24" s="77"/>
      <c r="R24" s="77"/>
      <c r="S24" s="77"/>
      <c r="T24" s="77"/>
      <c r="U24" s="77"/>
    </row>
    <row r="25" spans="1:26" s="91" customFormat="1" ht="15" x14ac:dyDescent="0.25">
      <c r="A25" s="371"/>
      <c r="B25" s="296"/>
      <c r="C25" s="289" t="s">
        <v>244</v>
      </c>
      <c r="D25" s="297"/>
      <c r="E25" s="297"/>
      <c r="F25" s="298">
        <f>IF('Gårdens info'!$D$28&gt;0,J206*'Gårdens info'!K28/'Gårdens info'!$I$28,0)</f>
        <v>30.6</v>
      </c>
      <c r="G25" s="151" t="s">
        <v>14</v>
      </c>
      <c r="H25" s="614">
        <f>IF('Gårdens info'!$G$28&gt;0,F25/'Gårdens info'!$G$28,0)</f>
        <v>2.2390243902439028E-3</v>
      </c>
      <c r="I25" s="151" t="s">
        <v>6</v>
      </c>
      <c r="J25" s="298">
        <f>F25*'Gårdens info'!$D$28</f>
        <v>91.800000000000011</v>
      </c>
      <c r="K25" s="151" t="s">
        <v>580</v>
      </c>
      <c r="L25" s="297"/>
      <c r="M25" s="300"/>
    </row>
    <row r="26" spans="1:26" s="91" customFormat="1" ht="15" x14ac:dyDescent="0.25">
      <c r="A26" s="371"/>
      <c r="B26" s="296"/>
      <c r="C26" s="289" t="s">
        <v>556</v>
      </c>
      <c r="D26" s="297"/>
      <c r="E26" s="297"/>
      <c r="F26" s="298">
        <f>IF('Gårdens info'!$D$28&gt;0,J220*'Gårdens info'!K28/'Gårdens info'!$I$28,0)</f>
        <v>0</v>
      </c>
      <c r="G26" s="151" t="s">
        <v>14</v>
      </c>
      <c r="H26" s="614">
        <f>IF('Gårdens info'!$G$28&gt;0,F26/'Gårdens info'!$G$28,0)</f>
        <v>0</v>
      </c>
      <c r="I26" s="151" t="s">
        <v>6</v>
      </c>
      <c r="J26" s="298">
        <f>F26*'Gårdens info'!$D$28</f>
        <v>0</v>
      </c>
      <c r="K26" s="151" t="s">
        <v>580</v>
      </c>
      <c r="L26" s="297"/>
      <c r="M26" s="300"/>
    </row>
    <row r="27" spans="1:26" s="91" customFormat="1" ht="15" x14ac:dyDescent="0.25">
      <c r="A27" s="371"/>
      <c r="B27" s="296"/>
      <c r="C27" s="289" t="s">
        <v>392</v>
      </c>
      <c r="D27" s="297"/>
      <c r="E27" s="297"/>
      <c r="F27" s="298">
        <f>IF('Gårdens info'!$D$28&gt;0,J228*'Gårdens info'!K28/'Gårdens info'!$I$28,0)</f>
        <v>160</v>
      </c>
      <c r="G27" s="151" t="s">
        <v>14</v>
      </c>
      <c r="H27" s="614">
        <f>IF('Gårdens info'!$G$28&gt;0,F27/'Gårdens info'!$G$28,0)</f>
        <v>1.1707317073170732E-2</v>
      </c>
      <c r="I27" s="151" t="s">
        <v>6</v>
      </c>
      <c r="J27" s="298">
        <f>F27*'Gårdens info'!$D$28</f>
        <v>480</v>
      </c>
      <c r="K27" s="151" t="s">
        <v>580</v>
      </c>
      <c r="L27" s="297"/>
      <c r="M27" s="300"/>
    </row>
    <row r="28" spans="1:26" s="91" customFormat="1" ht="15" x14ac:dyDescent="0.25">
      <c r="A28" s="371"/>
      <c r="B28" s="296"/>
      <c r="C28" s="289" t="s">
        <v>393</v>
      </c>
      <c r="D28" s="297"/>
      <c r="E28" s="297"/>
      <c r="F28" s="298">
        <f>IF('Gårdens info'!$D$28&gt;0,J241*'Gårdens info'!K28/'Gårdens info'!$I$28,0)</f>
        <v>109.33333333333333</v>
      </c>
      <c r="G28" s="151" t="s">
        <v>14</v>
      </c>
      <c r="H28" s="614">
        <f>IF('Gårdens info'!$G$28&gt;0,F28/'Gårdens info'!$G$28,0)</f>
        <v>8.0000000000000002E-3</v>
      </c>
      <c r="I28" s="151" t="s">
        <v>6</v>
      </c>
      <c r="J28" s="298">
        <f>F28*'Gårdens info'!$D$28</f>
        <v>328</v>
      </c>
      <c r="K28" s="151" t="s">
        <v>580</v>
      </c>
      <c r="L28" s="297"/>
      <c r="M28" s="300"/>
    </row>
    <row r="29" spans="1:26" s="91" customFormat="1" ht="15" x14ac:dyDescent="0.25">
      <c r="A29" s="371"/>
      <c r="B29" s="296"/>
      <c r="C29" s="289" t="s">
        <v>394</v>
      </c>
      <c r="D29" s="297"/>
      <c r="E29" s="297"/>
      <c r="F29" s="298">
        <f>IF('Gårdens info'!$D$28&gt;0,J250*'Gårdens info'!K28/'Gårdens info'!$I$28,0)</f>
        <v>410</v>
      </c>
      <c r="G29" s="151" t="s">
        <v>14</v>
      </c>
      <c r="H29" s="614">
        <f>IF('Gårdens info'!$G$28&gt;0,F29/'Gårdens info'!$G$28,0)</f>
        <v>3.0000000000000002E-2</v>
      </c>
      <c r="I29" s="151" t="s">
        <v>6</v>
      </c>
      <c r="J29" s="298">
        <f>F29*'Gårdens info'!$D$28</f>
        <v>1230</v>
      </c>
      <c r="K29" s="151" t="s">
        <v>580</v>
      </c>
      <c r="L29" s="297"/>
      <c r="M29" s="300"/>
    </row>
    <row r="30" spans="1:26" s="91" customFormat="1" ht="15" x14ac:dyDescent="0.25">
      <c r="A30" s="371"/>
      <c r="B30" s="296"/>
      <c r="C30" s="289" t="s">
        <v>387</v>
      </c>
      <c r="D30" s="297"/>
      <c r="E30" s="297"/>
      <c r="F30" s="298">
        <f>IF('Gårdens info'!$D$28&gt;0,J259*'Gårdens info'!K28/'Gårdens info'!$I$28,0)</f>
        <v>0</v>
      </c>
      <c r="G30" s="151" t="s">
        <v>14</v>
      </c>
      <c r="H30" s="614">
        <f>IF('Gårdens info'!$G$28&gt;0,F30/'Gårdens info'!$G$28,0)</f>
        <v>0</v>
      </c>
      <c r="I30" s="151" t="s">
        <v>6</v>
      </c>
      <c r="J30" s="298">
        <f>F30*'Gårdens info'!$D$28</f>
        <v>0</v>
      </c>
      <c r="K30" s="151" t="s">
        <v>580</v>
      </c>
      <c r="L30" s="297"/>
      <c r="M30" s="300"/>
      <c r="Y30" s="863" t="s">
        <v>574</v>
      </c>
      <c r="Z30" s="864">
        <f>F36</f>
        <v>260.10000000000002</v>
      </c>
    </row>
    <row r="31" spans="1:26" s="91" customFormat="1" ht="15" x14ac:dyDescent="0.25">
      <c r="A31" s="371"/>
      <c r="B31" s="296"/>
      <c r="C31" s="289" t="s">
        <v>249</v>
      </c>
      <c r="D31" s="297"/>
      <c r="E31" s="297"/>
      <c r="F31" s="298">
        <f>IF('Gårdens info'!$D$28&gt;0,J271*'Gårdens info'!K28/'Gårdens info'!$I$28,0)</f>
        <v>128.94559999999998</v>
      </c>
      <c r="G31" s="151" t="s">
        <v>14</v>
      </c>
      <c r="H31" s="614">
        <f>IF('Gårdens info'!$G$28&gt;0,F31/'Gårdens info'!$G$28,0)</f>
        <v>9.4350439024390234E-3</v>
      </c>
      <c r="I31" s="151" t="s">
        <v>6</v>
      </c>
      <c r="J31" s="298">
        <f>F31*'Gårdens info'!$D$28</f>
        <v>386.83679999999993</v>
      </c>
      <c r="K31" s="151" t="s">
        <v>580</v>
      </c>
      <c r="L31" s="297"/>
      <c r="M31" s="300"/>
      <c r="Y31" s="863" t="s">
        <v>245</v>
      </c>
      <c r="Z31" s="864">
        <f t="shared" ref="Z31:Z37" si="2">F37</f>
        <v>349.3</v>
      </c>
    </row>
    <row r="32" spans="1:26" s="91" customFormat="1" ht="15" x14ac:dyDescent="0.25">
      <c r="A32" s="371"/>
      <c r="B32" s="296"/>
      <c r="C32" s="289" t="s">
        <v>388</v>
      </c>
      <c r="D32" s="297"/>
      <c r="E32" s="297"/>
      <c r="F32" s="298">
        <f>IF('Gårdens info'!$D$28&gt;0,L296*'Gårdens info'!K28/'Gårdens info'!$I$28,0)</f>
        <v>29</v>
      </c>
      <c r="G32" s="151" t="s">
        <v>14</v>
      </c>
      <c r="H32" s="614">
        <f>IF('Gårdens info'!$G$28&gt;0,F32/'Gårdens info'!$G$28,0)</f>
        <v>2.1219512195121953E-3</v>
      </c>
      <c r="I32" s="151" t="s">
        <v>6</v>
      </c>
      <c r="J32" s="298">
        <f>F32*'Gårdens info'!$D$28</f>
        <v>87</v>
      </c>
      <c r="K32" s="151" t="s">
        <v>580</v>
      </c>
      <c r="L32" s="297"/>
      <c r="M32" s="300"/>
      <c r="Y32" s="863" t="s">
        <v>392</v>
      </c>
      <c r="Z32" s="864">
        <f t="shared" si="2"/>
        <v>800</v>
      </c>
    </row>
    <row r="33" spans="1:26" s="91" customFormat="1" ht="15.6" x14ac:dyDescent="0.3">
      <c r="A33" s="371"/>
      <c r="B33" s="296"/>
      <c r="C33" s="301" t="s">
        <v>196</v>
      </c>
      <c r="D33" s="302"/>
      <c r="E33" s="302"/>
      <c r="F33" s="303">
        <f>SUM(F24:F32)</f>
        <v>935.87893333333341</v>
      </c>
      <c r="G33" s="304" t="s">
        <v>14</v>
      </c>
      <c r="H33" s="615">
        <f>SUM(H24:H32)</f>
        <v>6.8478946341463426E-2</v>
      </c>
      <c r="I33" s="304" t="s">
        <v>6</v>
      </c>
      <c r="J33" s="303">
        <f>SUM(J24:J32)</f>
        <v>2807.6368000000002</v>
      </c>
      <c r="K33" s="304" t="s">
        <v>580</v>
      </c>
      <c r="L33" s="302"/>
      <c r="M33" s="300"/>
      <c r="Y33" s="863" t="s">
        <v>393</v>
      </c>
      <c r="Z33" s="864">
        <f t="shared" si="2"/>
        <v>546.66666666666663</v>
      </c>
    </row>
    <row r="34" spans="1:26" ht="17.399999999999999" x14ac:dyDescent="0.3">
      <c r="B34" s="292"/>
      <c r="C34" s="306"/>
      <c r="D34" s="307"/>
      <c r="E34" s="307"/>
      <c r="F34" s="308"/>
      <c r="G34" s="151"/>
      <c r="H34" s="307"/>
      <c r="I34" s="307"/>
      <c r="J34" s="307"/>
      <c r="K34" s="307"/>
      <c r="L34" s="307"/>
      <c r="M34" s="287"/>
      <c r="N34" s="91"/>
      <c r="O34" s="91"/>
      <c r="P34" s="91"/>
      <c r="Q34" s="91"/>
      <c r="R34" s="91"/>
      <c r="S34" s="91"/>
      <c r="T34" s="91"/>
      <c r="U34" s="91"/>
      <c r="Y34" s="863" t="s">
        <v>394</v>
      </c>
      <c r="Z34" s="864">
        <f t="shared" si="2"/>
        <v>2050</v>
      </c>
    </row>
    <row r="35" spans="1:26" s="77" customFormat="1" ht="17.399999999999999" x14ac:dyDescent="0.3">
      <c r="A35" s="370"/>
      <c r="B35" s="545" t="s">
        <v>36</v>
      </c>
      <c r="C35" s="306"/>
      <c r="D35" s="310"/>
      <c r="E35" s="310"/>
      <c r="F35" s="311"/>
      <c r="G35" s="153"/>
      <c r="H35" s="310"/>
      <c r="I35" s="310"/>
      <c r="J35" s="310"/>
      <c r="K35" s="310"/>
      <c r="L35" s="310"/>
      <c r="M35" s="295"/>
      <c r="N35"/>
      <c r="O35"/>
      <c r="P35"/>
      <c r="Q35"/>
      <c r="R35"/>
      <c r="S35"/>
      <c r="T35"/>
      <c r="U35"/>
      <c r="Y35" s="863" t="s">
        <v>387</v>
      </c>
      <c r="Z35" s="864">
        <f t="shared" si="2"/>
        <v>0</v>
      </c>
    </row>
    <row r="36" spans="1:26" s="91" customFormat="1" ht="17.399999999999999" x14ac:dyDescent="0.3">
      <c r="A36" s="371"/>
      <c r="B36" s="296"/>
      <c r="C36" s="289" t="s">
        <v>244</v>
      </c>
      <c r="D36" s="297"/>
      <c r="E36" s="297"/>
      <c r="F36" s="298">
        <f>IF('Gårdens info'!D28&gt;0,J306,0)</f>
        <v>260.10000000000002</v>
      </c>
      <c r="G36" s="151" t="s">
        <v>14</v>
      </c>
      <c r="H36" s="614">
        <f>IF('Gårdens info'!$G$28&gt;0,F36/'Gårdens info'!$G$28,0)</f>
        <v>1.9031707317073172E-2</v>
      </c>
      <c r="I36" s="151" t="s">
        <v>6</v>
      </c>
      <c r="J36" s="298">
        <f>F36*'Gårdens info'!$D$28</f>
        <v>780.30000000000007</v>
      </c>
      <c r="K36" s="151" t="s">
        <v>580</v>
      </c>
      <c r="L36" s="297"/>
      <c r="M36" s="300"/>
      <c r="N36" s="77"/>
      <c r="O36" s="77"/>
      <c r="P36" s="77"/>
      <c r="Q36" s="77"/>
      <c r="R36" s="77"/>
      <c r="S36" s="77"/>
      <c r="T36" s="77"/>
      <c r="U36" s="77"/>
      <c r="Y36" s="863" t="s">
        <v>249</v>
      </c>
      <c r="Z36" s="864">
        <f t="shared" si="2"/>
        <v>1118.7279999999998</v>
      </c>
    </row>
    <row r="37" spans="1:26" s="91" customFormat="1" ht="15" x14ac:dyDescent="0.25">
      <c r="A37" s="371"/>
      <c r="B37" s="296"/>
      <c r="C37" s="289" t="s">
        <v>245</v>
      </c>
      <c r="D37" s="297"/>
      <c r="E37" s="297"/>
      <c r="F37" s="298">
        <f>IF('Gårdens info'!D28&gt;0,J324,0)</f>
        <v>349.3</v>
      </c>
      <c r="G37" s="151" t="s">
        <v>14</v>
      </c>
      <c r="H37" s="614">
        <f>IF('Gårdens info'!$G$28&gt;0,F37/'Gårdens info'!$G$28,0)</f>
        <v>2.5558536585365856E-2</v>
      </c>
      <c r="I37" s="151" t="s">
        <v>6</v>
      </c>
      <c r="J37" s="298">
        <f>F37*'Gårdens info'!$D$28</f>
        <v>1047.9000000000001</v>
      </c>
      <c r="K37" s="151" t="s">
        <v>580</v>
      </c>
      <c r="L37" s="297"/>
      <c r="M37" s="300"/>
      <c r="Y37" s="863" t="s">
        <v>250</v>
      </c>
      <c r="Z37" s="864">
        <f t="shared" si="2"/>
        <v>21225</v>
      </c>
    </row>
    <row r="38" spans="1:26" s="91" customFormat="1" ht="15" x14ac:dyDescent="0.25">
      <c r="A38" s="371"/>
      <c r="B38" s="296"/>
      <c r="C38" s="289" t="s">
        <v>392</v>
      </c>
      <c r="D38" s="297"/>
      <c r="E38" s="297"/>
      <c r="F38" s="298">
        <f>IF('Gårdens info'!D28&gt;0,J332,0)</f>
        <v>800</v>
      </c>
      <c r="G38" s="151" t="s">
        <v>14</v>
      </c>
      <c r="H38" s="614">
        <f>IF('Gårdens info'!$G$28&gt;0,F38/'Gårdens info'!$G$28,0)</f>
        <v>5.8536585365853662E-2</v>
      </c>
      <c r="I38" s="151" t="s">
        <v>6</v>
      </c>
      <c r="J38" s="298">
        <f>F38*'Gårdens info'!$D$28</f>
        <v>2400</v>
      </c>
      <c r="K38" s="151" t="s">
        <v>580</v>
      </c>
      <c r="L38" s="297"/>
      <c r="M38" s="300"/>
      <c r="Y38" s="858" t="s">
        <v>575</v>
      </c>
      <c r="Z38" s="865">
        <f>F53</f>
        <v>414.81481481481484</v>
      </c>
    </row>
    <row r="39" spans="1:26" s="91" customFormat="1" ht="15" x14ac:dyDescent="0.25">
      <c r="A39" s="371"/>
      <c r="B39" s="296"/>
      <c r="C39" s="289" t="s">
        <v>393</v>
      </c>
      <c r="D39" s="297"/>
      <c r="E39" s="297"/>
      <c r="F39" s="298">
        <f>IF('Gårdens info'!D28&gt;0,J345,0)</f>
        <v>546.66666666666663</v>
      </c>
      <c r="G39" s="151" t="s">
        <v>14</v>
      </c>
      <c r="H39" s="614">
        <f>IF('Gårdens info'!$G$28&gt;0,F39/'Gårdens info'!$G$28,0)</f>
        <v>0.04</v>
      </c>
      <c r="I39" s="151" t="s">
        <v>6</v>
      </c>
      <c r="J39" s="298">
        <f>F39*'Gårdens info'!$D$28</f>
        <v>1640</v>
      </c>
      <c r="K39" s="151" t="s">
        <v>580</v>
      </c>
      <c r="L39" s="297"/>
      <c r="M39" s="300"/>
      <c r="Y39" s="858" t="s">
        <v>573</v>
      </c>
      <c r="Z39" s="865">
        <f>F54</f>
        <v>133.33333333333331</v>
      </c>
    </row>
    <row r="40" spans="1:26" s="91" customFormat="1" ht="15" x14ac:dyDescent="0.25">
      <c r="A40" s="371"/>
      <c r="B40" s="296"/>
      <c r="C40" s="289" t="s">
        <v>394</v>
      </c>
      <c r="D40" s="297"/>
      <c r="E40" s="297"/>
      <c r="F40" s="298">
        <f>IF('Gårdens info'!D28&gt;0,J353,0)</f>
        <v>2050</v>
      </c>
      <c r="G40" s="151" t="s">
        <v>14</v>
      </c>
      <c r="H40" s="614">
        <f>IF('Gårdens info'!$G$28&gt;0,F40/'Gårdens info'!$G$28,0)</f>
        <v>0.15</v>
      </c>
      <c r="I40" s="151" t="s">
        <v>6</v>
      </c>
      <c r="J40" s="298">
        <f>F40*'Gårdens info'!$D$28</f>
        <v>6150</v>
      </c>
      <c r="K40" s="151" t="s">
        <v>580</v>
      </c>
      <c r="L40" s="297"/>
      <c r="M40" s="300"/>
      <c r="Y40" s="858" t="s">
        <v>576</v>
      </c>
      <c r="Z40" s="866">
        <f>F63</f>
        <v>752.8888888888888</v>
      </c>
    </row>
    <row r="41" spans="1:26" s="91" customFormat="1" ht="15" x14ac:dyDescent="0.25">
      <c r="A41" s="371"/>
      <c r="B41" s="296"/>
      <c r="C41" s="289" t="s">
        <v>387</v>
      </c>
      <c r="D41" s="297"/>
      <c r="E41" s="297"/>
      <c r="F41" s="298">
        <f>IF('Gårdens info'!D28&gt;0,J361,0)</f>
        <v>0</v>
      </c>
      <c r="G41" s="151" t="s">
        <v>14</v>
      </c>
      <c r="H41" s="614">
        <f>IF('Gårdens info'!$G$28&gt;0,F41/'Gårdens info'!$G$28,0)</f>
        <v>0</v>
      </c>
      <c r="I41" s="151" t="s">
        <v>6</v>
      </c>
      <c r="J41" s="298">
        <f>F41*'Gårdens info'!$D$28</f>
        <v>0</v>
      </c>
      <c r="K41" s="151" t="s">
        <v>580</v>
      </c>
      <c r="L41" s="297"/>
      <c r="M41" s="300"/>
      <c r="Y41" s="858" t="s">
        <v>577</v>
      </c>
      <c r="Z41" s="866">
        <f>F70</f>
        <v>357.60123456790126</v>
      </c>
    </row>
    <row r="42" spans="1:26" s="91" customFormat="1" ht="15" x14ac:dyDescent="0.25">
      <c r="A42" s="371"/>
      <c r="B42" s="296"/>
      <c r="C42" s="289" t="s">
        <v>249</v>
      </c>
      <c r="D42" s="297"/>
      <c r="E42" s="297"/>
      <c r="F42" s="298">
        <f>IF('Gårdens info'!D28&gt;0,J373,0)</f>
        <v>1118.7279999999998</v>
      </c>
      <c r="G42" s="151" t="s">
        <v>14</v>
      </c>
      <c r="H42" s="614">
        <f>IF('Gårdens info'!$G$28&gt;0,F42/'Gårdens info'!$G$28,0)</f>
        <v>8.1858146341463406E-2</v>
      </c>
      <c r="I42" s="151" t="s">
        <v>6</v>
      </c>
      <c r="J42" s="298">
        <f>F42*'Gårdens info'!$D$28</f>
        <v>3356.1839999999993</v>
      </c>
      <c r="K42" s="151" t="s">
        <v>580</v>
      </c>
      <c r="L42" s="297"/>
      <c r="M42" s="300"/>
      <c r="Y42" s="858" t="s">
        <v>578</v>
      </c>
      <c r="Z42" s="866">
        <f>F77</f>
        <v>28.168333333333333</v>
      </c>
    </row>
    <row r="43" spans="1:26" s="91" customFormat="1" ht="15" x14ac:dyDescent="0.25">
      <c r="A43" s="371"/>
      <c r="B43" s="296"/>
      <c r="C43" s="289" t="s">
        <v>388</v>
      </c>
      <c r="D43" s="297"/>
      <c r="E43" s="297"/>
      <c r="F43" s="298">
        <f>IF('Gårdens info'!D28&gt;0,L396,0)</f>
        <v>21225</v>
      </c>
      <c r="G43" s="151" t="s">
        <v>14</v>
      </c>
      <c r="H43" s="614">
        <f>IF('Gårdens info'!$G$28&gt;0,F43/'Gårdens info'!$G$28,0)</f>
        <v>1.553048780487805</v>
      </c>
      <c r="I43" s="151" t="s">
        <v>6</v>
      </c>
      <c r="J43" s="298">
        <f>F43*'Gårdens info'!$D$28</f>
        <v>63675</v>
      </c>
      <c r="K43" s="151" t="s">
        <v>580</v>
      </c>
      <c r="L43" s="297"/>
      <c r="M43" s="300"/>
      <c r="Y43" s="858" t="s">
        <v>162</v>
      </c>
      <c r="Z43" s="866">
        <f>F83</f>
        <v>22.222222222222218</v>
      </c>
    </row>
    <row r="44" spans="1:26" s="236" customFormat="1" ht="15.6" x14ac:dyDescent="0.3">
      <c r="A44" s="372"/>
      <c r="B44" s="312"/>
      <c r="C44" s="301" t="s">
        <v>196</v>
      </c>
      <c r="D44" s="302"/>
      <c r="E44" s="302"/>
      <c r="F44" s="303">
        <f>SUM(F36:F43)</f>
        <v>26349.794666666668</v>
      </c>
      <c r="G44" s="304" t="s">
        <v>14</v>
      </c>
      <c r="H44" s="615">
        <f>SUM(H36:H43)</f>
        <v>1.9280337560975611</v>
      </c>
      <c r="I44" s="304" t="s">
        <v>6</v>
      </c>
      <c r="J44" s="303">
        <f>SUM(J36:J43)</f>
        <v>79049.384000000005</v>
      </c>
      <c r="K44" s="304" t="s">
        <v>580</v>
      </c>
      <c r="L44" s="302"/>
      <c r="M44" s="313"/>
      <c r="N44" s="91"/>
      <c r="O44" s="91"/>
      <c r="P44" s="91"/>
      <c r="Q44" s="91"/>
      <c r="R44" s="91"/>
      <c r="S44" s="91"/>
      <c r="T44" s="91"/>
      <c r="U44" s="91"/>
      <c r="Y44" s="858" t="s">
        <v>230</v>
      </c>
      <c r="Z44" s="866">
        <f>F94</f>
        <v>2349</v>
      </c>
    </row>
    <row r="45" spans="1:26" ht="17.399999999999999" x14ac:dyDescent="0.3">
      <c r="B45" s="292"/>
      <c r="C45" s="306"/>
      <c r="D45" s="307"/>
      <c r="E45" s="307"/>
      <c r="F45" s="308"/>
      <c r="G45" s="151"/>
      <c r="H45" s="307"/>
      <c r="I45" s="307"/>
      <c r="J45" s="307"/>
      <c r="K45" s="307"/>
      <c r="L45" s="307"/>
      <c r="M45" s="287"/>
      <c r="N45" s="236"/>
      <c r="O45" s="236"/>
      <c r="P45" s="236"/>
      <c r="Q45" s="236"/>
      <c r="R45" s="236"/>
      <c r="S45" s="236"/>
      <c r="T45" s="236"/>
      <c r="U45" s="236"/>
      <c r="Y45" s="236"/>
      <c r="Z45" s="236"/>
    </row>
    <row r="46" spans="1:26" ht="17.399999999999999" x14ac:dyDescent="0.3">
      <c r="B46" s="314" t="s">
        <v>42</v>
      </c>
      <c r="C46" s="306"/>
      <c r="D46" s="307"/>
      <c r="E46" s="307"/>
      <c r="F46" s="307"/>
      <c r="G46" s="307"/>
      <c r="H46" s="307"/>
      <c r="I46" s="307"/>
      <c r="J46" s="307"/>
      <c r="K46" s="307"/>
      <c r="L46" s="307"/>
      <c r="M46" s="287"/>
    </row>
    <row r="47" spans="1:26" ht="17.399999999999999" x14ac:dyDescent="0.3">
      <c r="B47" s="292"/>
      <c r="C47" s="289" t="s">
        <v>245</v>
      </c>
      <c r="D47" s="297"/>
      <c r="E47" s="297"/>
      <c r="F47" s="298">
        <f>IF('Gårdens info'!D28&gt;0,J413/'Gårdens info'!I28,0)</f>
        <v>3.6959999999999997</v>
      </c>
      <c r="G47" s="151" t="s">
        <v>14</v>
      </c>
      <c r="H47" s="614">
        <f>IF('Gårdens info'!$G$28&gt;0,F47/'Gårdens info'!$G$28,0)</f>
        <v>2.7043902439024387E-4</v>
      </c>
      <c r="I47" s="151" t="s">
        <v>6</v>
      </c>
      <c r="J47" s="298">
        <f>F47*'Gårdens info'!$D$28</f>
        <v>11.087999999999999</v>
      </c>
      <c r="K47" s="151" t="s">
        <v>580</v>
      </c>
      <c r="L47" s="307"/>
      <c r="M47" s="287"/>
    </row>
    <row r="48" spans="1:26" s="91" customFormat="1" ht="15" x14ac:dyDescent="0.25">
      <c r="A48" s="371"/>
      <c r="B48" s="296"/>
      <c r="C48" s="289" t="s">
        <v>387</v>
      </c>
      <c r="D48" s="297"/>
      <c r="E48" s="297"/>
      <c r="F48" s="298">
        <f>IF('Gårdens info'!D28&gt;0,J421/'Gårdens info'!I28,0)</f>
        <v>8.2666666666666675</v>
      </c>
      <c r="G48" s="151" t="s">
        <v>14</v>
      </c>
      <c r="H48" s="614">
        <f>IF('Gårdens info'!$G$28&gt;0,F48/'Gårdens info'!$G$28,0)</f>
        <v>6.0487804878048789E-4</v>
      </c>
      <c r="I48" s="151" t="s">
        <v>6</v>
      </c>
      <c r="J48" s="298">
        <f>F48*'Gårdens info'!$D$28</f>
        <v>24.800000000000004</v>
      </c>
      <c r="K48" s="151" t="s">
        <v>580</v>
      </c>
      <c r="L48" s="297"/>
      <c r="M48" s="300"/>
      <c r="N48"/>
      <c r="O48"/>
      <c r="P48"/>
      <c r="Q48"/>
      <c r="R48"/>
      <c r="S48"/>
      <c r="T48"/>
      <c r="U48"/>
      <c r="Y48"/>
      <c r="Z48"/>
    </row>
    <row r="49" spans="1:26" s="91" customFormat="1" ht="15" x14ac:dyDescent="0.25">
      <c r="A49" s="371"/>
      <c r="B49" s="296"/>
      <c r="C49" s="289" t="s">
        <v>249</v>
      </c>
      <c r="D49" s="297"/>
      <c r="E49" s="297"/>
      <c r="F49" s="298">
        <f>IF('Gårdens info'!D28&gt;0,J433/'Gårdens info'!I28,0)</f>
        <v>3.6106666666666669</v>
      </c>
      <c r="G49" s="151" t="s">
        <v>14</v>
      </c>
      <c r="H49" s="614">
        <f>IF('Gårdens info'!$G$28&gt;0,F49/'Gårdens info'!$G$28,0)</f>
        <v>2.6419512195121952E-4</v>
      </c>
      <c r="I49" s="151" t="s">
        <v>6</v>
      </c>
      <c r="J49" s="298">
        <f>F49*'Gårdens info'!$D$28</f>
        <v>10.832000000000001</v>
      </c>
      <c r="K49" s="151" t="s">
        <v>580</v>
      </c>
      <c r="L49" s="297"/>
      <c r="M49" s="300"/>
    </row>
    <row r="50" spans="1:26" s="91" customFormat="1" ht="15" x14ac:dyDescent="0.25">
      <c r="A50" s="371"/>
      <c r="B50" s="296"/>
      <c r="C50" s="289" t="s">
        <v>388</v>
      </c>
      <c r="D50" s="297"/>
      <c r="E50" s="297"/>
      <c r="F50" s="298">
        <f>IF('Gårdens info'!D28&gt;0,L446/'Gårdens info'!I28,0)</f>
        <v>0</v>
      </c>
      <c r="G50" s="151" t="s">
        <v>14</v>
      </c>
      <c r="H50" s="614">
        <f>IF('Gårdens info'!$G$28&gt;0,F50/'Gårdens info'!$G$28,0)</f>
        <v>0</v>
      </c>
      <c r="I50" s="151" t="s">
        <v>6</v>
      </c>
      <c r="J50" s="298">
        <f>F50*'Gårdens info'!$D$28</f>
        <v>0</v>
      </c>
      <c r="K50" s="151" t="s">
        <v>580</v>
      </c>
      <c r="L50" s="297"/>
      <c r="M50" s="300"/>
    </row>
    <row r="51" spans="1:26" s="8" customFormat="1" ht="15.6" x14ac:dyDescent="0.3">
      <c r="A51" s="369"/>
      <c r="B51" s="349"/>
      <c r="C51" s="324" t="s">
        <v>196</v>
      </c>
      <c r="D51" s="324"/>
      <c r="E51" s="324"/>
      <c r="F51" s="325">
        <f>SUM(F47:F50)</f>
        <v>15.573333333333334</v>
      </c>
      <c r="G51" s="304" t="s">
        <v>14</v>
      </c>
      <c r="H51" s="617">
        <f>SUM(H47:H50)</f>
        <v>1.1395121951219512E-3</v>
      </c>
      <c r="I51" s="304" t="s">
        <v>6</v>
      </c>
      <c r="J51" s="320">
        <f>SUM(J47:J50)</f>
        <v>46.720000000000006</v>
      </c>
      <c r="K51" s="304" t="s">
        <v>580</v>
      </c>
      <c r="L51" s="327"/>
      <c r="M51" s="321"/>
      <c r="N51" s="91"/>
      <c r="O51" s="91"/>
      <c r="P51" s="91"/>
      <c r="Q51" s="91"/>
      <c r="R51" s="91"/>
      <c r="S51" s="91"/>
      <c r="T51" s="91"/>
      <c r="U51" s="91"/>
      <c r="Y51" s="91"/>
      <c r="Z51" s="91"/>
    </row>
    <row r="52" spans="1:26" s="8" customFormat="1" ht="15.6" x14ac:dyDescent="0.3">
      <c r="A52" s="369"/>
      <c r="B52" s="349"/>
      <c r="C52" s="324"/>
      <c r="D52" s="324"/>
      <c r="E52" s="324"/>
      <c r="F52" s="325"/>
      <c r="G52" s="304"/>
      <c r="H52" s="326"/>
      <c r="I52" s="304"/>
      <c r="J52" s="320"/>
      <c r="K52" s="304"/>
      <c r="L52" s="327"/>
      <c r="M52" s="321"/>
    </row>
    <row r="53" spans="1:26" s="8" customFormat="1" ht="17.399999999999999" x14ac:dyDescent="0.3">
      <c r="A53" s="369"/>
      <c r="B53" s="947" t="s">
        <v>584</v>
      </c>
      <c r="C53" s="948"/>
      <c r="D53" s="948"/>
      <c r="E53" s="948"/>
      <c r="F53" s="325">
        <f>IF('Gårdens info'!D28&gt;0,J53/'Gårdens info'!D28,0)</f>
        <v>414.81481481481484</v>
      </c>
      <c r="G53" s="304" t="s">
        <v>14</v>
      </c>
      <c r="H53" s="617">
        <f>IF('Gårdens info'!G28&gt;0,F53/'Gårdens info'!G28,0)</f>
        <v>3.0352303523035234E-2</v>
      </c>
      <c r="I53" s="304" t="s">
        <v>6</v>
      </c>
      <c r="J53" s="320">
        <f>'Gårdens info'!G147/'Gårdens info'!D37*'Gårdens info'!D28</f>
        <v>1244.4444444444446</v>
      </c>
      <c r="K53" s="304" t="s">
        <v>580</v>
      </c>
      <c r="L53" s="327"/>
      <c r="M53" s="321"/>
    </row>
    <row r="54" spans="1:26" s="8" customFormat="1" ht="17.399999999999999" x14ac:dyDescent="0.3">
      <c r="A54" s="369"/>
      <c r="B54" s="949" t="s">
        <v>583</v>
      </c>
      <c r="C54" s="950"/>
      <c r="D54" s="950"/>
      <c r="E54" s="950"/>
      <c r="F54" s="325">
        <f>'Gårdens info'!$G$42*'Gårdens info'!$D$42/'Gårdens info'!$D$37*'Gårdens info'!D28</f>
        <v>133.33333333333331</v>
      </c>
      <c r="G54" s="304" t="s">
        <v>14</v>
      </c>
      <c r="H54" s="617">
        <f>IF('Gårdens info'!G28&gt;0,F54/'Gårdens info'!G28,0)</f>
        <v>9.756097560975608E-3</v>
      </c>
      <c r="I54" s="304" t="s">
        <v>6</v>
      </c>
      <c r="J54" s="320">
        <f>F54*'Gårdens info'!D28</f>
        <v>399.99999999999994</v>
      </c>
      <c r="K54" s="304" t="s">
        <v>580</v>
      </c>
      <c r="L54" s="327"/>
      <c r="M54" s="321"/>
    </row>
    <row r="55" spans="1:26" s="8" customFormat="1" ht="21" x14ac:dyDescent="0.4">
      <c r="A55" s="369"/>
      <c r="B55" s="932" t="s">
        <v>226</v>
      </c>
      <c r="C55" s="933"/>
      <c r="D55" s="933"/>
      <c r="E55" s="324"/>
      <c r="F55" s="328">
        <f>F21+F44+F51+F53+F54</f>
        <v>28447.06868148148</v>
      </c>
      <c r="G55" s="329" t="s">
        <v>14</v>
      </c>
      <c r="H55" s="618">
        <f>H21+H44+H51+H53+H54</f>
        <v>2.0814928303523037</v>
      </c>
      <c r="I55" s="329" t="s">
        <v>6</v>
      </c>
      <c r="J55" s="331">
        <f>J21+J44+J51+J53+J54</f>
        <v>85341.206044444451</v>
      </c>
      <c r="K55" s="329" t="s">
        <v>580</v>
      </c>
      <c r="L55" s="329"/>
      <c r="M55" s="321"/>
    </row>
    <row r="56" spans="1:26" s="8" customFormat="1" ht="43.05" customHeight="1" x14ac:dyDescent="0.4">
      <c r="A56" s="369"/>
      <c r="B56" s="468"/>
      <c r="C56" s="469"/>
      <c r="D56" s="469"/>
      <c r="E56" s="324"/>
      <c r="F56" s="328"/>
      <c r="G56" s="329"/>
      <c r="H56" s="330"/>
      <c r="I56" s="329"/>
      <c r="J56" s="331"/>
      <c r="K56" s="329"/>
      <c r="L56" s="329"/>
      <c r="M56" s="321"/>
    </row>
    <row r="57" spans="1:26" ht="21" x14ac:dyDescent="0.4">
      <c r="B57" s="319" t="s">
        <v>582</v>
      </c>
      <c r="C57" s="286"/>
      <c r="D57" s="148"/>
      <c r="E57" s="148"/>
      <c r="F57" s="148"/>
      <c r="G57" s="148"/>
      <c r="H57" s="148"/>
      <c r="I57" s="148"/>
      <c r="J57" s="293"/>
      <c r="K57" s="148"/>
      <c r="L57" s="148"/>
      <c r="M57" s="287"/>
      <c r="N57" s="8"/>
      <c r="O57" s="8"/>
      <c r="P57" s="8"/>
      <c r="Q57" s="8"/>
      <c r="R57" s="8"/>
      <c r="S57" s="8"/>
      <c r="T57" s="8"/>
      <c r="U57" s="8"/>
      <c r="Y57" s="8"/>
      <c r="Z57" s="8"/>
    </row>
    <row r="58" spans="1:26" s="8" customFormat="1" ht="21" customHeight="1" x14ac:dyDescent="0.4">
      <c r="A58" s="369"/>
      <c r="B58" s="947" t="s">
        <v>149</v>
      </c>
      <c r="C58" s="948"/>
      <c r="D58" s="833"/>
      <c r="E58" s="324"/>
      <c r="F58" s="328"/>
      <c r="G58" s="329"/>
      <c r="H58" s="330"/>
      <c r="I58" s="329"/>
      <c r="J58" s="331"/>
      <c r="K58" s="329"/>
      <c r="L58" s="329"/>
      <c r="M58" s="321"/>
      <c r="N58"/>
      <c r="O58"/>
      <c r="P58"/>
      <c r="Q58"/>
      <c r="R58"/>
      <c r="S58"/>
      <c r="T58"/>
      <c r="U58"/>
      <c r="Y58"/>
      <c r="Z58"/>
    </row>
    <row r="59" spans="1:26" s="8" customFormat="1" ht="21" x14ac:dyDescent="0.4">
      <c r="A59" s="369"/>
      <c r="B59" s="350"/>
      <c r="C59" s="838" t="s">
        <v>264</v>
      </c>
      <c r="D59" s="833"/>
      <c r="E59" s="324"/>
      <c r="F59" s="338">
        <f>IF('Gårdens info'!$D$28&gt;0,J59/'Gårdens info'!$D$28,0)</f>
        <v>391.11111111111109</v>
      </c>
      <c r="G59" s="151" t="s">
        <v>14</v>
      </c>
      <c r="H59" s="613">
        <f>IF('Gårdens info'!$G$28&gt;0,F59/'Gårdens info'!$G$28,0)</f>
        <v>2.8617886178861789E-2</v>
      </c>
      <c r="I59" s="151" t="s">
        <v>6</v>
      </c>
      <c r="J59" s="298">
        <f>Ägendom!AX22</f>
        <v>1173.3333333333333</v>
      </c>
      <c r="K59" s="151" t="s">
        <v>580</v>
      </c>
      <c r="L59" s="329"/>
      <c r="M59" s="321"/>
    </row>
    <row r="60" spans="1:26" s="8" customFormat="1" ht="21" x14ac:dyDescent="0.4">
      <c r="A60" s="369"/>
      <c r="B60" s="350"/>
      <c r="C60" s="838" t="s">
        <v>265</v>
      </c>
      <c r="D60" s="833"/>
      <c r="E60" s="324"/>
      <c r="F60" s="338">
        <f>IF('Gårdens info'!$D$28&gt;0,J60/'Gårdens info'!$D$28,0)</f>
        <v>244.44444444444443</v>
      </c>
      <c r="G60" s="151" t="s">
        <v>14</v>
      </c>
      <c r="H60" s="613">
        <f>IF('Gårdens info'!$G$28&gt;0,F60/'Gårdens info'!$G$28,0)</f>
        <v>1.7886178861788619E-2</v>
      </c>
      <c r="I60" s="151" t="s">
        <v>6</v>
      </c>
      <c r="J60" s="298">
        <f>Ägendom!BT22</f>
        <v>733.33333333333326</v>
      </c>
      <c r="K60" s="151" t="s">
        <v>580</v>
      </c>
      <c r="L60" s="329"/>
      <c r="M60" s="321"/>
    </row>
    <row r="61" spans="1:26" s="8" customFormat="1" ht="17.399999999999999" customHeight="1" x14ac:dyDescent="0.3">
      <c r="A61" s="369"/>
      <c r="B61" s="350"/>
      <c r="C61" s="941" t="s">
        <v>266</v>
      </c>
      <c r="D61" s="941"/>
      <c r="E61" s="324"/>
      <c r="F61" s="338">
        <f>IF('Gårdens info'!$D$28&gt;0,J61/'Gårdens info'!$D$28,0)</f>
        <v>97.777777777777771</v>
      </c>
      <c r="G61" s="151" t="s">
        <v>14</v>
      </c>
      <c r="H61" s="613">
        <f>IF('Gårdens info'!$G$28&gt;0,F61/'Gårdens info'!$G$28,0)</f>
        <v>7.1544715447154471E-3</v>
      </c>
      <c r="I61" s="151" t="s">
        <v>6</v>
      </c>
      <c r="J61" s="298">
        <f>Ägendom!CP22</f>
        <v>293.33333333333331</v>
      </c>
      <c r="K61" s="151" t="s">
        <v>580</v>
      </c>
      <c r="L61" s="329"/>
      <c r="M61" s="321"/>
    </row>
    <row r="62" spans="1:26" s="8" customFormat="1" ht="21" x14ac:dyDescent="0.4">
      <c r="A62" s="369"/>
      <c r="B62" s="350"/>
      <c r="C62" s="838" t="s">
        <v>399</v>
      </c>
      <c r="D62" s="833"/>
      <c r="E62" s="324"/>
      <c r="F62" s="338">
        <f>IF('Gårdens info'!$D$28&gt;0,J62/'Gårdens info'!$D$28,0)</f>
        <v>19.555555555555554</v>
      </c>
      <c r="G62" s="151" t="s">
        <v>14</v>
      </c>
      <c r="H62" s="613">
        <f>IF('Gårdens info'!$G$28&gt;0,F62/'Gårdens info'!$G$28,0)</f>
        <v>1.4308943089430893E-3</v>
      </c>
      <c r="I62" s="151" t="s">
        <v>6</v>
      </c>
      <c r="J62" s="298">
        <f>Ägendom!DL22</f>
        <v>58.666666666666664</v>
      </c>
      <c r="K62" s="151" t="s">
        <v>580</v>
      </c>
      <c r="L62" s="329"/>
      <c r="M62" s="321"/>
    </row>
    <row r="63" spans="1:26" s="8" customFormat="1" ht="20.399999999999999" x14ac:dyDescent="0.35">
      <c r="A63" s="369"/>
      <c r="B63" s="352"/>
      <c r="C63" s="340" t="s">
        <v>196</v>
      </c>
      <c r="D63" s="341"/>
      <c r="E63" s="324"/>
      <c r="F63" s="342">
        <f>SUM(F59:F62)</f>
        <v>752.8888888888888</v>
      </c>
      <c r="G63" s="151" t="s">
        <v>14</v>
      </c>
      <c r="H63" s="620">
        <f t="shared" ref="H63:J63" si="3">SUM(H59:H62)</f>
        <v>5.5089430894308948E-2</v>
      </c>
      <c r="I63" s="151" t="s">
        <v>6</v>
      </c>
      <c r="J63" s="342">
        <f t="shared" si="3"/>
        <v>2258.6666666666665</v>
      </c>
      <c r="K63" s="151" t="s">
        <v>580</v>
      </c>
      <c r="L63" s="343"/>
      <c r="M63" s="321"/>
    </row>
    <row r="64" spans="1:26" s="8" customFormat="1" ht="21" x14ac:dyDescent="0.4">
      <c r="A64" s="369"/>
      <c r="B64" s="350"/>
      <c r="C64" s="838"/>
      <c r="D64" s="833"/>
      <c r="E64" s="324"/>
      <c r="F64" s="338"/>
      <c r="G64" s="151"/>
      <c r="H64" s="339"/>
      <c r="I64" s="151"/>
      <c r="J64" s="298"/>
      <c r="K64" s="151"/>
      <c r="L64" s="329"/>
      <c r="M64" s="321"/>
    </row>
    <row r="65" spans="1:13" s="8" customFormat="1" ht="19.95" customHeight="1" x14ac:dyDescent="0.3">
      <c r="A65" s="369"/>
      <c r="B65" s="970" t="s">
        <v>400</v>
      </c>
      <c r="C65" s="971"/>
      <c r="D65" s="971"/>
      <c r="E65" s="324"/>
      <c r="F65" s="338"/>
      <c r="G65" s="151"/>
      <c r="H65" s="339"/>
      <c r="I65" s="151"/>
      <c r="J65" s="298"/>
      <c r="K65" s="151"/>
      <c r="L65" s="329"/>
      <c r="M65" s="321"/>
    </row>
    <row r="66" spans="1:13" s="8" customFormat="1" ht="21" x14ac:dyDescent="0.4">
      <c r="A66" s="369"/>
      <c r="B66" s="350"/>
      <c r="C66" s="838" t="s">
        <v>264</v>
      </c>
      <c r="D66" s="833"/>
      <c r="E66" s="324"/>
      <c r="F66" s="338">
        <f>IF('Gårdens info'!$D$28&gt;0,J66/'Gårdens info'!$D$28,0)</f>
        <v>150.8641975308642</v>
      </c>
      <c r="G66" s="151" t="s">
        <v>14</v>
      </c>
      <c r="H66" s="613">
        <f>IF('Gårdens info'!$G$28&gt;0,F66/'Gårdens info'!$G$28,0)</f>
        <v>1.1038843721770553E-2</v>
      </c>
      <c r="I66" s="151" t="s">
        <v>6</v>
      </c>
      <c r="J66" s="298">
        <f>Ägendom!AX51</f>
        <v>452.59259259259261</v>
      </c>
      <c r="K66" s="151" t="s">
        <v>580</v>
      </c>
      <c r="L66" s="329"/>
      <c r="M66" s="321"/>
    </row>
    <row r="67" spans="1:13" s="8" customFormat="1" ht="21" x14ac:dyDescent="0.4">
      <c r="A67" s="369"/>
      <c r="B67" s="350"/>
      <c r="C67" s="838" t="s">
        <v>265</v>
      </c>
      <c r="D67" s="833"/>
      <c r="E67" s="324"/>
      <c r="F67" s="338">
        <f>IF('Gårdens info'!$D$28&gt;0,J67/'Gårdens info'!$D$28,0)</f>
        <v>56.574074074074076</v>
      </c>
      <c r="G67" s="151" t="s">
        <v>14</v>
      </c>
      <c r="H67" s="613">
        <f>IF('Gårdens info'!$G$28&gt;0,F67/'Gårdens info'!$G$28,0)</f>
        <v>4.1395663956639572E-3</v>
      </c>
      <c r="I67" s="151" t="s">
        <v>6</v>
      </c>
      <c r="J67" s="298">
        <f>Ägendom!BT51</f>
        <v>169.72222222222223</v>
      </c>
      <c r="K67" s="151" t="s">
        <v>580</v>
      </c>
      <c r="L67" s="329"/>
      <c r="M67" s="321"/>
    </row>
    <row r="68" spans="1:13" s="8" customFormat="1" ht="17.399999999999999" customHeight="1" x14ac:dyDescent="0.3">
      <c r="A68" s="369"/>
      <c r="B68" s="350"/>
      <c r="C68" s="941" t="s">
        <v>266</v>
      </c>
      <c r="D68" s="941"/>
      <c r="E68" s="324"/>
      <c r="F68" s="338">
        <f>IF('Gårdens info'!$D$28&gt;0,J68/'Gårdens info'!$D$28,0)</f>
        <v>140.77777777777774</v>
      </c>
      <c r="G68" s="151" t="s">
        <v>14</v>
      </c>
      <c r="H68" s="613">
        <f>IF('Gårdens info'!$G$28&gt;0,F68/'Gårdens info'!$G$28,0)</f>
        <v>1.0300813008130079E-2</v>
      </c>
      <c r="I68" s="151" t="s">
        <v>6</v>
      </c>
      <c r="J68" s="298">
        <f>Ägendom!CP51</f>
        <v>422.33333333333326</v>
      </c>
      <c r="K68" s="151" t="s">
        <v>580</v>
      </c>
      <c r="L68" s="329"/>
      <c r="M68" s="321"/>
    </row>
    <row r="69" spans="1:13" s="8" customFormat="1" ht="21" x14ac:dyDescent="0.4">
      <c r="A69" s="369"/>
      <c r="B69" s="350"/>
      <c r="C69" s="838" t="s">
        <v>399</v>
      </c>
      <c r="D69" s="833"/>
      <c r="E69" s="324"/>
      <c r="F69" s="338">
        <f>IF('Gårdens info'!$D$28&gt;0,J69/'Gårdens info'!$D$28,0)</f>
        <v>9.3851851851851862</v>
      </c>
      <c r="G69" s="151" t="s">
        <v>14</v>
      </c>
      <c r="H69" s="613">
        <f>IF('Gårdens info'!$G$28&gt;0,F69/'Gårdens info'!$G$28,0)</f>
        <v>6.8672086720867221E-4</v>
      </c>
      <c r="I69" s="151" t="s">
        <v>6</v>
      </c>
      <c r="J69" s="298">
        <f>Ägendom!DL51</f>
        <v>28.155555555555559</v>
      </c>
      <c r="K69" s="151" t="s">
        <v>580</v>
      </c>
      <c r="L69" s="329"/>
      <c r="M69" s="321"/>
    </row>
    <row r="70" spans="1:13" s="8" customFormat="1" ht="20.399999999999999" x14ac:dyDescent="0.35">
      <c r="A70" s="369"/>
      <c r="B70" s="352"/>
      <c r="C70" s="340" t="s">
        <v>196</v>
      </c>
      <c r="D70" s="341"/>
      <c r="E70" s="324"/>
      <c r="F70" s="342">
        <f>SUM(F66:F69)</f>
        <v>357.60123456790126</v>
      </c>
      <c r="G70" s="151" t="s">
        <v>14</v>
      </c>
      <c r="H70" s="620">
        <f t="shared" ref="H70:J70" si="4">SUM(H66:H69)</f>
        <v>2.616594399277326E-2</v>
      </c>
      <c r="I70" s="151" t="s">
        <v>6</v>
      </c>
      <c r="J70" s="342">
        <f t="shared" si="4"/>
        <v>1072.8037037037036</v>
      </c>
      <c r="K70" s="151" t="s">
        <v>580</v>
      </c>
      <c r="L70" s="343"/>
      <c r="M70" s="321"/>
    </row>
    <row r="71" spans="1:13" s="8" customFormat="1" ht="21" x14ac:dyDescent="0.4">
      <c r="A71" s="369"/>
      <c r="B71" s="350"/>
      <c r="C71" s="838"/>
      <c r="D71" s="833"/>
      <c r="E71" s="324"/>
      <c r="F71" s="338"/>
      <c r="G71" s="151"/>
      <c r="H71" s="339"/>
      <c r="I71" s="151"/>
      <c r="J71" s="298"/>
      <c r="K71" s="151"/>
      <c r="L71" s="329"/>
      <c r="M71" s="321"/>
    </row>
    <row r="72" spans="1:13" s="8" customFormat="1" ht="19.95" customHeight="1" x14ac:dyDescent="0.3">
      <c r="A72" s="369"/>
      <c r="B72" s="947" t="s">
        <v>151</v>
      </c>
      <c r="C72" s="948"/>
      <c r="D72" s="948"/>
      <c r="E72" s="324"/>
      <c r="F72" s="338"/>
      <c r="G72" s="151"/>
      <c r="H72" s="339"/>
      <c r="I72" s="151"/>
      <c r="J72" s="298"/>
      <c r="K72" s="151"/>
      <c r="L72" s="329"/>
      <c r="M72" s="321"/>
    </row>
    <row r="73" spans="1:13" s="8" customFormat="1" ht="21" x14ac:dyDescent="0.4">
      <c r="A73" s="369"/>
      <c r="B73" s="350"/>
      <c r="C73" s="838" t="s">
        <v>264</v>
      </c>
      <c r="D73" s="833"/>
      <c r="E73" s="324"/>
      <c r="F73" s="338">
        <f>IF('Gårdens info'!$D$28&gt;0,J73/'Gårdens info'!$D$28,0)</f>
        <v>0.83333333333333337</v>
      </c>
      <c r="G73" s="151" t="s">
        <v>14</v>
      </c>
      <c r="H73" s="613">
        <f>IF('Gårdens info'!$G$28&gt;0,F73/'Gårdens info'!$G$28,0)</f>
        <v>6.0975609756097568E-5</v>
      </c>
      <c r="I73" s="151" t="s">
        <v>6</v>
      </c>
      <c r="J73" s="298">
        <f>Ägendom!AX76</f>
        <v>2.5</v>
      </c>
      <c r="K73" s="151" t="s">
        <v>580</v>
      </c>
      <c r="L73" s="329"/>
      <c r="M73" s="321"/>
    </row>
    <row r="74" spans="1:13" s="8" customFormat="1" ht="21" x14ac:dyDescent="0.4">
      <c r="A74" s="369"/>
      <c r="B74" s="350"/>
      <c r="C74" s="838" t="s">
        <v>265</v>
      </c>
      <c r="D74" s="833"/>
      <c r="E74" s="324"/>
      <c r="F74" s="338">
        <f>IF('Gårdens info'!$D$28&gt;0,J74/'Gårdens info'!$D$28,0)</f>
        <v>0.20833333333333334</v>
      </c>
      <c r="G74" s="151" t="s">
        <v>14</v>
      </c>
      <c r="H74" s="613">
        <f>IF('Gårdens info'!$G$28&gt;0,F74/'Gårdens info'!$G$28,0)</f>
        <v>1.5243902439024392E-5</v>
      </c>
      <c r="I74" s="151" t="s">
        <v>6</v>
      </c>
      <c r="J74" s="298">
        <f>Ägendom!BT76</f>
        <v>0.625</v>
      </c>
      <c r="K74" s="151" t="s">
        <v>580</v>
      </c>
      <c r="L74" s="329"/>
      <c r="M74" s="321"/>
    </row>
    <row r="75" spans="1:13" s="8" customFormat="1" ht="17.399999999999999" customHeight="1" x14ac:dyDescent="0.3">
      <c r="A75" s="369"/>
      <c r="B75" s="350"/>
      <c r="C75" s="941" t="s">
        <v>266</v>
      </c>
      <c r="D75" s="941"/>
      <c r="E75" s="324"/>
      <c r="F75" s="338">
        <f>IF('Gårdens info'!$D$28&gt;0,J75/'Gårdens info'!$D$28,0)</f>
        <v>26.083333333333332</v>
      </c>
      <c r="G75" s="151" t="s">
        <v>14</v>
      </c>
      <c r="H75" s="613">
        <f>IF('Gårdens info'!$G$28&gt;0,F75/'Gårdens info'!$G$28,0)</f>
        <v>1.9085365853658536E-3</v>
      </c>
      <c r="I75" s="151" t="s">
        <v>6</v>
      </c>
      <c r="J75" s="298">
        <f>Ägendom!CP76</f>
        <v>78.25</v>
      </c>
      <c r="K75" s="151" t="s">
        <v>580</v>
      </c>
      <c r="L75" s="329"/>
      <c r="M75" s="321"/>
    </row>
    <row r="76" spans="1:13" s="8" customFormat="1" ht="21" x14ac:dyDescent="0.4">
      <c r="A76" s="369"/>
      <c r="B76" s="350"/>
      <c r="C76" s="838" t="s">
        <v>399</v>
      </c>
      <c r="D76" s="833"/>
      <c r="E76" s="324"/>
      <c r="F76" s="338">
        <f>IF('Gårdens info'!$D$28&gt;0,J76/'Gårdens info'!$D$28,0)</f>
        <v>1.0433333333333332</v>
      </c>
      <c r="G76" s="151" t="s">
        <v>14</v>
      </c>
      <c r="H76" s="613">
        <f>IF('Gårdens info'!$G$28&gt;0,F76/'Gårdens info'!$G$28,0)</f>
        <v>7.6341463414634147E-5</v>
      </c>
      <c r="I76" s="151" t="s">
        <v>6</v>
      </c>
      <c r="J76" s="298">
        <f>Ägendom!DL76</f>
        <v>3.13</v>
      </c>
      <c r="K76" s="151" t="s">
        <v>580</v>
      </c>
      <c r="L76" s="329"/>
      <c r="M76" s="321"/>
    </row>
    <row r="77" spans="1:13" s="8" customFormat="1" ht="20.399999999999999" x14ac:dyDescent="0.35">
      <c r="A77" s="369"/>
      <c r="B77" s="352"/>
      <c r="C77" s="340" t="s">
        <v>196</v>
      </c>
      <c r="D77" s="341"/>
      <c r="E77" s="324"/>
      <c r="F77" s="342">
        <f>SUM(F73:F76)</f>
        <v>28.168333333333333</v>
      </c>
      <c r="G77" s="151" t="s">
        <v>14</v>
      </c>
      <c r="H77" s="620">
        <f t="shared" ref="H77:J77" si="5">SUM(H73:H76)</f>
        <v>2.0610975609756097E-3</v>
      </c>
      <c r="I77" s="151" t="s">
        <v>6</v>
      </c>
      <c r="J77" s="342">
        <f t="shared" si="5"/>
        <v>84.504999999999995</v>
      </c>
      <c r="K77" s="151" t="s">
        <v>580</v>
      </c>
      <c r="L77" s="343"/>
      <c r="M77" s="321"/>
    </row>
    <row r="78" spans="1:13" s="8" customFormat="1" ht="21" x14ac:dyDescent="0.4">
      <c r="A78" s="369"/>
      <c r="B78" s="350"/>
      <c r="C78" s="838"/>
      <c r="D78" s="833"/>
      <c r="E78" s="324"/>
      <c r="F78" s="338"/>
      <c r="G78" s="151"/>
      <c r="H78" s="339"/>
      <c r="I78" s="151"/>
      <c r="J78" s="298"/>
      <c r="K78" s="151"/>
      <c r="L78" s="329"/>
      <c r="M78" s="321"/>
    </row>
    <row r="79" spans="1:13" s="8" customFormat="1" ht="21" customHeight="1" x14ac:dyDescent="0.4">
      <c r="A79" s="369"/>
      <c r="B79" s="951" t="s">
        <v>160</v>
      </c>
      <c r="C79" s="952"/>
      <c r="D79" s="833"/>
      <c r="E79" s="324"/>
      <c r="F79" s="338"/>
      <c r="G79" s="151"/>
      <c r="H79" s="339"/>
      <c r="I79" s="151"/>
      <c r="J79" s="298"/>
      <c r="K79" s="151"/>
      <c r="L79" s="329"/>
      <c r="M79" s="321"/>
    </row>
    <row r="80" spans="1:13" s="8" customFormat="1" ht="21" x14ac:dyDescent="0.4">
      <c r="A80" s="369"/>
      <c r="B80" s="350"/>
      <c r="C80" s="838" t="s">
        <v>264</v>
      </c>
      <c r="D80" s="833"/>
      <c r="E80" s="324"/>
      <c r="F80" s="338">
        <f>IF('Gårdens info'!$D$28&gt;0,J80/'Gårdens info'!$D$28,0)</f>
        <v>0</v>
      </c>
      <c r="G80" s="151" t="s">
        <v>14</v>
      </c>
      <c r="H80" s="613">
        <f>IF('Gårdens info'!$G$28&gt;0,F80/'Gårdens info'!$G$28,0)</f>
        <v>0</v>
      </c>
      <c r="I80" s="151" t="s">
        <v>6</v>
      </c>
      <c r="J80" s="298">
        <f>Ägendom!AX79</f>
        <v>0</v>
      </c>
      <c r="K80" s="151" t="s">
        <v>580</v>
      </c>
      <c r="L80" s="329"/>
      <c r="M80" s="321"/>
    </row>
    <row r="81" spans="1:26" s="8" customFormat="1" ht="21" x14ac:dyDescent="0.4">
      <c r="A81" s="369"/>
      <c r="B81" s="350"/>
      <c r="C81" s="838" t="s">
        <v>265</v>
      </c>
      <c r="D81" s="833"/>
      <c r="E81" s="324"/>
      <c r="F81" s="338">
        <f>IF('Gårdens info'!$D$28&gt;0,J81/'Gårdens info'!$D$28,0)</f>
        <v>0</v>
      </c>
      <c r="G81" s="151" t="s">
        <v>14</v>
      </c>
      <c r="H81" s="613">
        <f>IF('Gårdens info'!$G$28&gt;0,F81/'Gårdens info'!$G$28,0)</f>
        <v>0</v>
      </c>
      <c r="I81" s="151" t="s">
        <v>6</v>
      </c>
      <c r="J81" s="298">
        <f>Ägendom!BT79</f>
        <v>0</v>
      </c>
      <c r="K81" s="151" t="s">
        <v>580</v>
      </c>
      <c r="L81" s="329"/>
      <c r="M81" s="321"/>
    </row>
    <row r="82" spans="1:26" s="8" customFormat="1" ht="17.399999999999999" customHeight="1" x14ac:dyDescent="0.3">
      <c r="A82" s="369"/>
      <c r="B82" s="350"/>
      <c r="C82" s="941" t="s">
        <v>266</v>
      </c>
      <c r="D82" s="941"/>
      <c r="E82" s="324"/>
      <c r="F82" s="338">
        <f>IF('Gårdens info'!$D$28&gt;0,J82/'Gårdens info'!$D$28,0)</f>
        <v>22.222222222222218</v>
      </c>
      <c r="G82" s="151" t="s">
        <v>14</v>
      </c>
      <c r="H82" s="613">
        <f>IF('Gårdens info'!$G$28&gt;0,F82/'Gårdens info'!$G$28,0)</f>
        <v>1.6260162601626014E-3</v>
      </c>
      <c r="I82" s="151" t="s">
        <v>6</v>
      </c>
      <c r="J82" s="298">
        <f>Ägendom!CP79</f>
        <v>66.666666666666657</v>
      </c>
      <c r="K82" s="151" t="s">
        <v>580</v>
      </c>
      <c r="L82" s="329"/>
      <c r="M82" s="321"/>
    </row>
    <row r="83" spans="1:26" s="239" customFormat="1" ht="15.6" x14ac:dyDescent="0.3">
      <c r="A83" s="373"/>
      <c r="B83" s="349"/>
      <c r="C83" s="323" t="s">
        <v>196</v>
      </c>
      <c r="D83" s="323"/>
      <c r="E83" s="323"/>
      <c r="F83" s="342">
        <f>SUM(F80:F82)</f>
        <v>22.222222222222218</v>
      </c>
      <c r="G83" s="151" t="s">
        <v>14</v>
      </c>
      <c r="H83" s="620">
        <f t="shared" ref="H83:J83" si="6">SUM(H80:H82)</f>
        <v>1.6260162601626014E-3</v>
      </c>
      <c r="I83" s="151" t="s">
        <v>6</v>
      </c>
      <c r="J83" s="342">
        <f t="shared" si="6"/>
        <v>66.666666666666657</v>
      </c>
      <c r="K83" s="151" t="s">
        <v>580</v>
      </c>
      <c r="L83" s="347"/>
      <c r="M83" s="353"/>
      <c r="N83" s="8"/>
      <c r="O83" s="8"/>
      <c r="P83" s="8"/>
      <c r="Q83" s="8"/>
      <c r="R83" s="8"/>
      <c r="S83" s="8"/>
      <c r="T83" s="8"/>
      <c r="U83" s="8"/>
      <c r="Y83" s="8"/>
      <c r="Z83" s="8"/>
    </row>
    <row r="84" spans="1:26" s="8" customFormat="1" ht="21" customHeight="1" x14ac:dyDescent="0.4">
      <c r="A84" s="369"/>
      <c r="B84" s="932" t="s">
        <v>229</v>
      </c>
      <c r="C84" s="933"/>
      <c r="D84" s="933"/>
      <c r="E84" s="324"/>
      <c r="F84" s="328">
        <f>F63+F70+F77+F83</f>
        <v>1160.8806790123456</v>
      </c>
      <c r="G84" s="329" t="s">
        <v>14</v>
      </c>
      <c r="H84" s="618">
        <f>H63+H70+H77+H83</f>
        <v>8.4942488708220423E-2</v>
      </c>
      <c r="I84" s="329" t="s">
        <v>6</v>
      </c>
      <c r="J84" s="331">
        <f>J63+J70+J77+J83</f>
        <v>3482.6420370370365</v>
      </c>
      <c r="K84" s="329" t="s">
        <v>580</v>
      </c>
      <c r="L84" s="329"/>
      <c r="M84" s="321"/>
      <c r="N84" s="239"/>
      <c r="O84" s="239"/>
      <c r="P84" s="239"/>
      <c r="Q84" s="239"/>
      <c r="R84" s="239"/>
      <c r="S84" s="239"/>
      <c r="T84" s="239"/>
      <c r="U84" s="239"/>
      <c r="Y84" s="239"/>
      <c r="Z84" s="239"/>
    </row>
    <row r="85" spans="1:26" s="8" customFormat="1" ht="40.950000000000003" customHeight="1" x14ac:dyDescent="0.3">
      <c r="A85" s="369"/>
      <c r="B85" s="349"/>
      <c r="C85" s="324"/>
      <c r="D85" s="324"/>
      <c r="E85" s="324"/>
      <c r="F85" s="325"/>
      <c r="G85" s="304"/>
      <c r="H85" s="326"/>
      <c r="I85" s="304"/>
      <c r="J85" s="320"/>
      <c r="K85" s="304"/>
      <c r="L85" s="327"/>
      <c r="M85" s="321"/>
    </row>
    <row r="86" spans="1:26" s="8" customFormat="1" ht="21" x14ac:dyDescent="0.4">
      <c r="A86" s="369"/>
      <c r="B86" s="319" t="s">
        <v>230</v>
      </c>
      <c r="C86" s="324"/>
      <c r="D86" s="324"/>
      <c r="E86" s="324"/>
      <c r="F86" s="325"/>
      <c r="G86" s="304"/>
      <c r="H86" s="326"/>
      <c r="I86" s="304"/>
      <c r="J86" s="320"/>
      <c r="K86" s="304"/>
      <c r="L86" s="327"/>
      <c r="M86" s="321"/>
    </row>
    <row r="87" spans="1:26" s="77" customFormat="1" ht="17.399999999999999" x14ac:dyDescent="0.3">
      <c r="A87" s="370"/>
      <c r="B87" s="972" t="s">
        <v>383</v>
      </c>
      <c r="C87" s="973"/>
      <c r="D87" s="973"/>
      <c r="E87" s="153"/>
      <c r="F87" s="153"/>
      <c r="G87" s="153"/>
      <c r="H87" s="153"/>
      <c r="I87" s="153"/>
      <c r="J87" s="294"/>
      <c r="K87" s="153"/>
      <c r="L87" s="153"/>
      <c r="M87" s="295"/>
      <c r="N87" s="8"/>
      <c r="O87" s="8"/>
      <c r="P87" s="8"/>
      <c r="Q87" s="8"/>
      <c r="R87" s="8"/>
      <c r="S87" s="8"/>
      <c r="T87" s="8"/>
      <c r="U87" s="8"/>
      <c r="Y87" s="8"/>
      <c r="Z87" s="8"/>
    </row>
    <row r="88" spans="1:26" s="91" customFormat="1" ht="17.399999999999999" x14ac:dyDescent="0.3">
      <c r="A88" s="371"/>
      <c r="B88" s="296"/>
      <c r="C88" s="289" t="s">
        <v>230</v>
      </c>
      <c r="D88" s="297"/>
      <c r="E88" s="297"/>
      <c r="F88" s="298">
        <f>IF('Gårdens info'!D28&gt;0,H185/'Gårdens info'!I28,0)</f>
        <v>159.98333333333332</v>
      </c>
      <c r="G88" s="151" t="s">
        <v>14</v>
      </c>
      <c r="H88" s="614">
        <f>IF('Gårdens info'!G28&gt;0,F88/'Gårdens info'!$G$28,0)</f>
        <v>1.170609756097561E-2</v>
      </c>
      <c r="I88" s="151" t="s">
        <v>6</v>
      </c>
      <c r="J88" s="298">
        <f>F88*'Gårdens info'!D27</f>
        <v>159.98333333333332</v>
      </c>
      <c r="K88" s="151" t="s">
        <v>580</v>
      </c>
      <c r="L88" s="297"/>
      <c r="M88" s="300"/>
      <c r="N88" s="77"/>
      <c r="O88" s="77"/>
      <c r="P88" s="77"/>
      <c r="Q88" s="77"/>
      <c r="R88" s="77"/>
      <c r="S88" s="77"/>
      <c r="T88" s="77"/>
      <c r="U88" s="77"/>
      <c r="Y88" s="77"/>
      <c r="Z88" s="77"/>
    </row>
    <row r="89" spans="1:26" s="8" customFormat="1" ht="15.6" x14ac:dyDescent="0.3">
      <c r="A89" s="369"/>
      <c r="B89" s="349"/>
      <c r="C89" s="324"/>
      <c r="D89" s="324"/>
      <c r="E89" s="324"/>
      <c r="F89" s="325"/>
      <c r="G89" s="304"/>
      <c r="H89" s="326"/>
      <c r="I89" s="304"/>
      <c r="J89" s="320"/>
      <c r="K89" s="304"/>
      <c r="L89" s="327"/>
      <c r="M89" s="321"/>
      <c r="N89" s="91"/>
      <c r="O89" s="91"/>
      <c r="P89" s="91"/>
      <c r="Q89" s="91"/>
      <c r="R89" s="91"/>
      <c r="S89" s="91"/>
      <c r="T89" s="91"/>
      <c r="U89" s="91"/>
      <c r="Y89" s="91"/>
      <c r="Z89" s="91"/>
    </row>
    <row r="90" spans="1:26" s="77" customFormat="1" ht="17.399999999999999" x14ac:dyDescent="0.3">
      <c r="A90" s="370"/>
      <c r="B90" s="972" t="s">
        <v>581</v>
      </c>
      <c r="C90" s="973"/>
      <c r="D90" s="973"/>
      <c r="E90" s="153"/>
      <c r="F90" s="153"/>
      <c r="G90" s="153"/>
      <c r="H90" s="153"/>
      <c r="I90" s="153"/>
      <c r="J90" s="294"/>
      <c r="K90" s="153"/>
      <c r="L90" s="153"/>
      <c r="M90" s="295"/>
      <c r="N90" s="8"/>
      <c r="O90" s="8"/>
      <c r="P90" s="8"/>
      <c r="Q90" s="8"/>
      <c r="R90" s="8"/>
      <c r="S90" s="8"/>
      <c r="T90" s="8"/>
      <c r="U90" s="8"/>
      <c r="Y90" s="8"/>
      <c r="Z90" s="8"/>
    </row>
    <row r="91" spans="1:26" s="91" customFormat="1" ht="17.399999999999999" x14ac:dyDescent="0.3">
      <c r="A91" s="371"/>
      <c r="B91" s="296"/>
      <c r="C91" s="289" t="s">
        <v>230</v>
      </c>
      <c r="D91" s="297"/>
      <c r="E91" s="297"/>
      <c r="F91" s="298">
        <f>IF('Gårdens info'!D28&gt;0,H296*'Gårdens info'!K28/'Gårdens info'!I28,0)</f>
        <v>252.3</v>
      </c>
      <c r="G91" s="151" t="s">
        <v>14</v>
      </c>
      <c r="H91" s="614">
        <f>IF('Gårdens info'!G28&gt;0,F91/'Gårdens info'!$G$28,0)</f>
        <v>1.8460975609756101E-2</v>
      </c>
      <c r="I91" s="151" t="s">
        <v>6</v>
      </c>
      <c r="J91" s="298">
        <f>F91*'Gårdens info'!D27</f>
        <v>252.3</v>
      </c>
      <c r="K91" s="151" t="s">
        <v>580</v>
      </c>
      <c r="L91" s="297"/>
      <c r="M91" s="300"/>
      <c r="N91" s="77"/>
      <c r="O91" s="77"/>
      <c r="P91" s="77"/>
      <c r="Q91" s="77"/>
      <c r="R91" s="77"/>
      <c r="S91" s="77"/>
      <c r="T91" s="77"/>
      <c r="U91" s="77"/>
      <c r="Y91" s="77"/>
      <c r="Z91" s="77"/>
    </row>
    <row r="92" spans="1:26" s="8" customFormat="1" ht="15.6" x14ac:dyDescent="0.3">
      <c r="A92" s="369"/>
      <c r="B92" s="349"/>
      <c r="C92" s="324"/>
      <c r="D92" s="324"/>
      <c r="E92" s="324"/>
      <c r="F92" s="325"/>
      <c r="G92" s="304"/>
      <c r="H92" s="326"/>
      <c r="I92" s="304"/>
      <c r="J92" s="320"/>
      <c r="K92" s="304"/>
      <c r="L92" s="327"/>
      <c r="M92" s="321"/>
      <c r="N92" s="91"/>
      <c r="O92" s="91"/>
      <c r="P92" s="91"/>
      <c r="Q92" s="91"/>
      <c r="R92" s="91"/>
      <c r="S92" s="91"/>
      <c r="T92" s="91"/>
      <c r="U92" s="91"/>
      <c r="Y92" s="91"/>
      <c r="Z92" s="91"/>
    </row>
    <row r="93" spans="1:26" s="77" customFormat="1" ht="17.399999999999999" x14ac:dyDescent="0.3">
      <c r="A93" s="370"/>
      <c r="B93" s="612" t="s">
        <v>270</v>
      </c>
      <c r="C93" s="306"/>
      <c r="D93" s="310"/>
      <c r="E93" s="310"/>
      <c r="F93" s="311"/>
      <c r="G93" s="153"/>
      <c r="H93" s="310"/>
      <c r="I93" s="310"/>
      <c r="J93" s="310"/>
      <c r="K93" s="310"/>
      <c r="L93" s="310"/>
      <c r="M93" s="295"/>
      <c r="N93" s="8"/>
      <c r="O93" s="8"/>
      <c r="P93" s="8"/>
      <c r="Q93" s="8"/>
      <c r="R93" s="8"/>
      <c r="S93" s="8"/>
      <c r="T93" s="8"/>
      <c r="U93" s="8"/>
      <c r="Y93" s="8"/>
      <c r="Z93" s="8"/>
    </row>
    <row r="94" spans="1:26" s="91" customFormat="1" ht="17.399999999999999" x14ac:dyDescent="0.3">
      <c r="A94" s="371"/>
      <c r="B94" s="296"/>
      <c r="C94" s="289" t="s">
        <v>230</v>
      </c>
      <c r="D94" s="297"/>
      <c r="E94" s="297"/>
      <c r="F94" s="298">
        <f>IF('Gårdens info'!D28&gt;0,H396,0)</f>
        <v>2349</v>
      </c>
      <c r="G94" s="151" t="s">
        <v>14</v>
      </c>
      <c r="H94" s="614">
        <f>IF('Gårdens info'!G28&gt;0,F94/'Gårdens info'!$G$28,0)</f>
        <v>0.17187804878048782</v>
      </c>
      <c r="I94" s="151" t="s">
        <v>6</v>
      </c>
      <c r="J94" s="298">
        <f>F94*'Gårdens info'!D27</f>
        <v>2349</v>
      </c>
      <c r="K94" s="151" t="s">
        <v>580</v>
      </c>
      <c r="L94" s="297"/>
      <c r="M94" s="300"/>
      <c r="N94" s="77"/>
      <c r="O94" s="77"/>
      <c r="P94" s="77"/>
      <c r="Q94" s="77"/>
      <c r="R94" s="77"/>
      <c r="S94" s="77"/>
      <c r="T94" s="77"/>
      <c r="U94" s="77"/>
      <c r="Y94" s="77"/>
      <c r="Z94" s="77"/>
    </row>
    <row r="95" spans="1:26" s="77" customFormat="1" ht="17.399999999999999" x14ac:dyDescent="0.3">
      <c r="A95" s="370"/>
      <c r="B95" s="476"/>
      <c r="C95" s="306"/>
      <c r="D95" s="310"/>
      <c r="E95" s="310"/>
      <c r="F95" s="311"/>
      <c r="G95" s="153"/>
      <c r="H95" s="310"/>
      <c r="I95" s="310"/>
      <c r="J95" s="310"/>
      <c r="K95" s="310"/>
      <c r="L95" s="310"/>
      <c r="M95" s="295"/>
      <c r="N95" s="91"/>
      <c r="O95" s="91"/>
      <c r="P95" s="91"/>
      <c r="Q95" s="91"/>
      <c r="R95" s="91"/>
      <c r="S95" s="91"/>
      <c r="T95" s="91"/>
      <c r="U95" s="91"/>
      <c r="Y95" s="91"/>
      <c r="Z95" s="91"/>
    </row>
    <row r="96" spans="1:26" ht="27" customHeight="1" x14ac:dyDescent="0.3">
      <c r="B96" s="612" t="s">
        <v>395</v>
      </c>
      <c r="C96" s="306"/>
      <c r="D96" s="307"/>
      <c r="E96" s="307"/>
      <c r="F96" s="307"/>
      <c r="G96" s="307"/>
      <c r="H96" s="307"/>
      <c r="I96" s="307"/>
      <c r="J96" s="307"/>
      <c r="K96" s="307"/>
      <c r="L96" s="307"/>
      <c r="M96" s="287"/>
      <c r="N96" s="77"/>
      <c r="O96" s="77"/>
      <c r="P96" s="77"/>
      <c r="Q96" s="77"/>
      <c r="R96" s="77"/>
      <c r="S96" s="77"/>
      <c r="T96" s="77"/>
      <c r="U96" s="77"/>
      <c r="Y96" s="77"/>
      <c r="Z96" s="77"/>
    </row>
    <row r="97" spans="1:26" s="91" customFormat="1" ht="15" x14ac:dyDescent="0.25">
      <c r="A97" s="371"/>
      <c r="B97" s="296"/>
      <c r="C97" s="289" t="s">
        <v>230</v>
      </c>
      <c r="D97" s="297"/>
      <c r="E97" s="297"/>
      <c r="F97" s="298">
        <f>IF('Gårdens info'!D28&gt;0,H446/'Gårdens info'!I28,0)</f>
        <v>1.9333333333333333</v>
      </c>
      <c r="G97" s="151" t="s">
        <v>14</v>
      </c>
      <c r="H97" s="614">
        <f>IF('Gårdens info'!G28&gt;0,F97/'Gårdens info'!$G$28,0)</f>
        <v>1.4146341463414634E-4</v>
      </c>
      <c r="I97" s="151" t="s">
        <v>6</v>
      </c>
      <c r="J97" s="298">
        <f>F97*'Gårdens info'!D27</f>
        <v>1.9333333333333333</v>
      </c>
      <c r="K97" s="151" t="s">
        <v>580</v>
      </c>
      <c r="L97" s="297"/>
      <c r="M97" s="300"/>
      <c r="N97"/>
      <c r="O97"/>
      <c r="P97"/>
      <c r="Q97"/>
      <c r="R97"/>
      <c r="S97"/>
      <c r="T97"/>
      <c r="U97"/>
      <c r="Y97"/>
      <c r="Z97"/>
    </row>
    <row r="98" spans="1:26" s="8" customFormat="1" ht="21" x14ac:dyDescent="0.4">
      <c r="A98" s="369"/>
      <c r="B98" s="932" t="s">
        <v>230</v>
      </c>
      <c r="C98" s="933"/>
      <c r="D98" s="933"/>
      <c r="E98" s="324"/>
      <c r="F98" s="328">
        <f>F88+F91+F94+F97</f>
        <v>2763.2166666666667</v>
      </c>
      <c r="G98" s="329" t="s">
        <v>14</v>
      </c>
      <c r="H98" s="618">
        <f>H88+H91+H94+H97</f>
        <v>0.20218658536585368</v>
      </c>
      <c r="I98" s="329" t="s">
        <v>6</v>
      </c>
      <c r="J98" s="331">
        <f>J88+J91+J94+J97</f>
        <v>2763.2166666666667</v>
      </c>
      <c r="K98" s="329" t="s">
        <v>580</v>
      </c>
      <c r="L98" s="329"/>
      <c r="M98" s="321"/>
      <c r="N98" s="91"/>
      <c r="O98" s="91"/>
      <c r="P98" s="91"/>
      <c r="Q98" s="91"/>
      <c r="R98" s="91"/>
      <c r="S98" s="91"/>
      <c r="T98" s="91"/>
      <c r="U98" s="91"/>
      <c r="Y98" s="91"/>
      <c r="Z98" s="91"/>
    </row>
    <row r="99" spans="1:26" s="8" customFormat="1" ht="21" x14ac:dyDescent="0.4">
      <c r="A99" s="369"/>
      <c r="B99" s="689"/>
      <c r="C99" s="690"/>
      <c r="D99" s="690"/>
      <c r="E99" s="324"/>
      <c r="F99" s="328"/>
      <c r="G99" s="329"/>
      <c r="H99" s="618"/>
      <c r="I99" s="329"/>
      <c r="J99" s="331"/>
      <c r="K99" s="329"/>
      <c r="L99" s="329"/>
      <c r="M99" s="321"/>
      <c r="Y99" s="91"/>
      <c r="Z99" s="91"/>
    </row>
    <row r="100" spans="1:26" s="8" customFormat="1" ht="21" x14ac:dyDescent="0.4">
      <c r="A100" s="369"/>
      <c r="B100" s="932" t="s">
        <v>268</v>
      </c>
      <c r="C100" s="933"/>
      <c r="D100" s="933"/>
      <c r="E100" s="324"/>
      <c r="F100" s="328">
        <f>F55+F84+F98</f>
        <v>32371.166027160492</v>
      </c>
      <c r="G100" s="329" t="s">
        <v>14</v>
      </c>
      <c r="H100" s="705">
        <f>H55+H84+H98</f>
        <v>2.3686219044263779</v>
      </c>
      <c r="I100" s="329" t="s">
        <v>6</v>
      </c>
      <c r="J100" s="328">
        <f>J55+J84+J98</f>
        <v>91587.064748148143</v>
      </c>
      <c r="K100" s="329" t="s">
        <v>580</v>
      </c>
      <c r="L100" s="329"/>
      <c r="M100" s="321"/>
      <c r="Y100" s="91"/>
      <c r="Z100" s="91"/>
    </row>
    <row r="101" spans="1:26" s="8" customFormat="1" ht="21" x14ac:dyDescent="0.4">
      <c r="A101" s="369"/>
      <c r="B101" s="468"/>
      <c r="C101" s="469"/>
      <c r="D101" s="469"/>
      <c r="E101" s="324"/>
      <c r="F101" s="328"/>
      <c r="G101" s="329"/>
      <c r="H101" s="330"/>
      <c r="I101" s="329"/>
      <c r="J101" s="331"/>
      <c r="K101" s="329"/>
      <c r="L101" s="329"/>
      <c r="M101" s="321"/>
    </row>
    <row r="102" spans="1:26" s="8" customFormat="1" ht="21.6" thickBot="1" x14ac:dyDescent="0.45">
      <c r="A102" s="369"/>
      <c r="B102" s="936" t="s">
        <v>269</v>
      </c>
      <c r="C102" s="937"/>
      <c r="D102" s="937"/>
      <c r="E102" s="315"/>
      <c r="F102" s="355">
        <f>F11-F55-F84-F98</f>
        <v>-9137.8326938271603</v>
      </c>
      <c r="G102" s="356" t="s">
        <v>14</v>
      </c>
      <c r="H102" s="621">
        <f>H11-H55-H84-H98</f>
        <v>-0.66862190442637781</v>
      </c>
      <c r="I102" s="356" t="s">
        <v>6</v>
      </c>
      <c r="J102" s="355">
        <f>J11-J55-J84-J98</f>
        <v>-21887.064748148154</v>
      </c>
      <c r="K102" s="356" t="s">
        <v>580</v>
      </c>
      <c r="L102" s="356"/>
      <c r="M102" s="316"/>
    </row>
    <row r="103" spans="1:26" ht="57" customHeight="1" thickBot="1" x14ac:dyDescent="0.45">
      <c r="B103" s="546"/>
      <c r="C103" s="534"/>
      <c r="D103" s="534"/>
      <c r="E103" s="534"/>
      <c r="F103" s="534"/>
      <c r="G103" s="534"/>
      <c r="H103" s="534"/>
      <c r="I103" s="534"/>
      <c r="J103" s="534"/>
      <c r="K103" s="534"/>
      <c r="L103" s="534"/>
      <c r="M103" s="534"/>
      <c r="N103" s="8"/>
      <c r="O103" s="8"/>
      <c r="P103" s="8"/>
      <c r="Q103" s="8"/>
      <c r="R103" s="8"/>
      <c r="S103" s="8"/>
      <c r="T103" s="8"/>
      <c r="U103" s="8"/>
      <c r="Y103" s="8"/>
      <c r="Z103" s="8"/>
    </row>
    <row r="104" spans="1:26" ht="22.95" customHeight="1" thickBot="1" x14ac:dyDescent="0.45">
      <c r="B104" s="977" t="s">
        <v>383</v>
      </c>
      <c r="C104" s="978"/>
      <c r="D104" s="978"/>
      <c r="E104" s="979"/>
      <c r="F104" s="534"/>
      <c r="G104" s="534"/>
      <c r="H104" s="534"/>
      <c r="I104" s="534"/>
      <c r="J104" s="983" t="s">
        <v>271</v>
      </c>
      <c r="K104" s="983"/>
      <c r="L104" s="983"/>
      <c r="M104" s="534"/>
    </row>
    <row r="105" spans="1:26" ht="28.05" customHeight="1" x14ac:dyDescent="0.4">
      <c r="B105" s="538"/>
      <c r="C105" s="538"/>
      <c r="D105" s="538"/>
      <c r="E105" s="538"/>
      <c r="F105" s="534"/>
      <c r="G105" s="534"/>
      <c r="H105" s="534"/>
      <c r="I105" s="534"/>
      <c r="J105" s="534"/>
      <c r="K105" s="534"/>
      <c r="L105" s="534"/>
      <c r="M105" s="534"/>
    </row>
    <row r="106" spans="1:26" ht="15.6" x14ac:dyDescent="0.3">
      <c r="B106" s="113" t="s">
        <v>401</v>
      </c>
      <c r="C106" s="65"/>
      <c r="D106" s="65"/>
      <c r="E106" s="65"/>
      <c r="F106" s="959" t="s">
        <v>159</v>
      </c>
      <c r="G106" s="959"/>
      <c r="H106" s="959" t="s">
        <v>158</v>
      </c>
      <c r="I106" s="959"/>
      <c r="J106" s="959" t="s">
        <v>324</v>
      </c>
      <c r="K106" s="959"/>
      <c r="L106" s="143" t="s">
        <v>274</v>
      </c>
      <c r="M106" s="67"/>
    </row>
    <row r="107" spans="1:26" ht="13.8" thickBot="1" x14ac:dyDescent="0.3">
      <c r="B107" s="69"/>
      <c r="C107" s="65" t="s">
        <v>338</v>
      </c>
      <c r="D107" s="65"/>
      <c r="E107" s="65"/>
      <c r="F107" s="65"/>
      <c r="G107" s="65"/>
      <c r="H107" s="65"/>
      <c r="I107" s="65"/>
      <c r="J107" s="67"/>
      <c r="K107" s="67"/>
      <c r="L107" s="67"/>
      <c r="M107" s="67"/>
    </row>
    <row r="108" spans="1:26" ht="13.8" thickBot="1" x14ac:dyDescent="0.3">
      <c r="B108" s="65"/>
      <c r="C108" s="66" t="s">
        <v>585</v>
      </c>
      <c r="D108" s="67"/>
      <c r="E108" s="65"/>
      <c r="F108" s="118">
        <v>1500</v>
      </c>
      <c r="G108" s="65" t="s">
        <v>327</v>
      </c>
      <c r="H108" s="95">
        <v>6</v>
      </c>
      <c r="I108" s="70" t="s">
        <v>152</v>
      </c>
      <c r="J108" s="235">
        <f>F108*H108</f>
        <v>9000</v>
      </c>
      <c r="K108" s="65" t="s">
        <v>14</v>
      </c>
      <c r="L108" s="65" t="s">
        <v>500</v>
      </c>
      <c r="M108" s="67"/>
    </row>
    <row r="109" spans="1:26" ht="13.8" thickBot="1" x14ac:dyDescent="0.3">
      <c r="B109" s="65"/>
      <c r="C109" s="65" t="s">
        <v>538</v>
      </c>
      <c r="D109" s="66"/>
      <c r="E109" s="65"/>
      <c r="F109" s="118"/>
      <c r="G109" s="65" t="s">
        <v>327</v>
      </c>
      <c r="H109" s="95"/>
      <c r="I109" s="70" t="s">
        <v>152</v>
      </c>
      <c r="J109" s="235">
        <f t="shared" ref="J109:J112" si="7">F109*H109</f>
        <v>0</v>
      </c>
      <c r="K109" s="65" t="s">
        <v>14</v>
      </c>
      <c r="L109" s="67"/>
      <c r="M109" s="67"/>
    </row>
    <row r="110" spans="1:26" ht="13.8" thickBot="1" x14ac:dyDescent="0.3">
      <c r="B110" s="65"/>
      <c r="C110" s="65" t="s">
        <v>538</v>
      </c>
      <c r="D110" s="66"/>
      <c r="E110" s="65"/>
      <c r="F110" s="118"/>
      <c r="G110" s="65" t="s">
        <v>327</v>
      </c>
      <c r="H110" s="95"/>
      <c r="I110" s="70" t="s">
        <v>152</v>
      </c>
      <c r="J110" s="235">
        <f t="shared" si="7"/>
        <v>0</v>
      </c>
      <c r="K110" s="65" t="s">
        <v>14</v>
      </c>
      <c r="L110" s="67"/>
      <c r="M110" s="67"/>
    </row>
    <row r="111" spans="1:26" ht="13.8" thickBot="1" x14ac:dyDescent="0.3">
      <c r="B111" s="65"/>
      <c r="C111" s="65"/>
      <c r="D111" s="71"/>
      <c r="E111" s="65"/>
      <c r="F111" s="65"/>
      <c r="G111" s="65"/>
      <c r="H111" s="70"/>
      <c r="I111" s="70"/>
      <c r="J111" s="235"/>
      <c r="K111" s="65"/>
      <c r="L111" s="67"/>
      <c r="M111" s="67"/>
    </row>
    <row r="112" spans="1:26" ht="13.8" thickBot="1" x14ac:dyDescent="0.3">
      <c r="B112" s="65"/>
      <c r="C112" s="65" t="s">
        <v>586</v>
      </c>
      <c r="D112" s="71"/>
      <c r="E112" s="65"/>
      <c r="F112" s="118">
        <v>20</v>
      </c>
      <c r="G112" s="65" t="s">
        <v>1</v>
      </c>
      <c r="H112" s="99">
        <v>4</v>
      </c>
      <c r="I112" s="70" t="s">
        <v>6</v>
      </c>
      <c r="J112" s="235">
        <f t="shared" si="7"/>
        <v>80</v>
      </c>
      <c r="K112" s="65" t="s">
        <v>14</v>
      </c>
      <c r="L112" s="67"/>
      <c r="M112" s="67"/>
    </row>
    <row r="113" spans="1:26" ht="13.8" thickBot="1" x14ac:dyDescent="0.3">
      <c r="B113" s="65"/>
      <c r="C113" s="65" t="s">
        <v>405</v>
      </c>
      <c r="D113" s="71"/>
      <c r="E113" s="65"/>
      <c r="F113" s="118"/>
      <c r="G113" s="65" t="s">
        <v>1</v>
      </c>
      <c r="H113" s="99"/>
      <c r="I113" s="70" t="s">
        <v>6</v>
      </c>
      <c r="J113" s="235"/>
      <c r="K113" s="65" t="s">
        <v>14</v>
      </c>
      <c r="L113" s="67"/>
      <c r="M113" s="67"/>
    </row>
    <row r="114" spans="1:26" s="8" customFormat="1" x14ac:dyDescent="0.25">
      <c r="A114" s="369"/>
      <c r="B114" s="71"/>
      <c r="C114" s="71" t="s">
        <v>196</v>
      </c>
      <c r="D114" s="71"/>
      <c r="E114" s="71"/>
      <c r="F114" s="277"/>
      <c r="G114" s="71"/>
      <c r="H114" s="278"/>
      <c r="I114" s="279"/>
      <c r="J114" s="280">
        <f>SUM(J108:J113)</f>
        <v>9080</v>
      </c>
      <c r="K114" s="71" t="s">
        <v>14</v>
      </c>
      <c r="L114" s="71"/>
      <c r="M114" s="71"/>
      <c r="N114"/>
      <c r="O114"/>
      <c r="P114"/>
      <c r="Q114"/>
      <c r="R114"/>
      <c r="S114"/>
      <c r="T114"/>
      <c r="U114"/>
      <c r="Y114"/>
      <c r="Z114"/>
    </row>
    <row r="115" spans="1:26" x14ac:dyDescent="0.25">
      <c r="B115" s="65"/>
      <c r="C115" s="65"/>
      <c r="D115" s="71"/>
      <c r="E115" s="65"/>
      <c r="F115" s="68"/>
      <c r="G115" s="65"/>
      <c r="H115" s="70"/>
      <c r="I115" s="70"/>
      <c r="J115" s="67"/>
      <c r="K115" s="65"/>
      <c r="L115" s="67"/>
      <c r="M115" s="67"/>
      <c r="N115" s="8"/>
      <c r="O115" s="8"/>
      <c r="P115" s="8"/>
      <c r="Q115" s="8"/>
      <c r="R115" s="8"/>
      <c r="S115" s="8"/>
      <c r="T115" s="8"/>
      <c r="U115" s="8"/>
      <c r="Y115" s="8"/>
      <c r="Z115" s="8"/>
    </row>
    <row r="116" spans="1:26" ht="37.049999999999997" customHeight="1" x14ac:dyDescent="0.25">
      <c r="B116" s="535"/>
      <c r="C116" s="535"/>
      <c r="D116" s="536"/>
      <c r="E116" s="535"/>
      <c r="F116" s="535"/>
      <c r="G116" s="535"/>
      <c r="H116" s="537"/>
      <c r="I116" s="537"/>
      <c r="J116" s="534"/>
      <c r="K116" s="534"/>
      <c r="L116" s="534"/>
      <c r="M116" s="534"/>
    </row>
    <row r="117" spans="1:26" ht="15.6" x14ac:dyDescent="0.3">
      <c r="B117" s="120" t="s">
        <v>587</v>
      </c>
      <c r="C117" s="121"/>
      <c r="D117" s="121"/>
      <c r="E117" s="121"/>
      <c r="F117" s="960" t="s">
        <v>159</v>
      </c>
      <c r="G117" s="960"/>
      <c r="H117" s="960" t="s">
        <v>158</v>
      </c>
      <c r="I117" s="960"/>
      <c r="J117" s="960" t="s">
        <v>324</v>
      </c>
      <c r="K117" s="960"/>
      <c r="L117" s="123"/>
      <c r="M117" s="123"/>
    </row>
    <row r="118" spans="1:26" ht="13.8" thickBot="1" x14ac:dyDescent="0.3">
      <c r="B118" s="121"/>
      <c r="C118" s="121"/>
      <c r="D118" s="121"/>
      <c r="E118" s="121"/>
      <c r="F118" s="121"/>
      <c r="G118" s="121"/>
      <c r="H118" s="122"/>
      <c r="I118" s="122"/>
      <c r="J118" s="123"/>
      <c r="K118" s="123"/>
      <c r="L118" s="123"/>
      <c r="M118" s="123"/>
    </row>
    <row r="119" spans="1:26" ht="13.8" thickBot="1" x14ac:dyDescent="0.3">
      <c r="B119" s="121"/>
      <c r="C119" s="121" t="s">
        <v>588</v>
      </c>
      <c r="D119" s="123"/>
      <c r="E119" s="121"/>
      <c r="F119" s="118">
        <v>500</v>
      </c>
      <c r="G119" s="121" t="s">
        <v>21</v>
      </c>
      <c r="H119" s="99">
        <v>1.05</v>
      </c>
      <c r="I119" s="122" t="s">
        <v>6</v>
      </c>
      <c r="J119" s="234">
        <f>F119*H119</f>
        <v>525</v>
      </c>
      <c r="K119" s="121" t="s">
        <v>14</v>
      </c>
      <c r="L119" s="123"/>
      <c r="M119" s="123"/>
    </row>
    <row r="120" spans="1:26" ht="13.8" thickBot="1" x14ac:dyDescent="0.3">
      <c r="B120" s="121"/>
      <c r="C120" s="121" t="s">
        <v>589</v>
      </c>
      <c r="D120" s="123"/>
      <c r="E120" s="121"/>
      <c r="F120" s="118">
        <v>500</v>
      </c>
      <c r="G120" s="121" t="s">
        <v>21</v>
      </c>
      <c r="H120" s="99">
        <v>0.95</v>
      </c>
      <c r="I120" s="122" t="s">
        <v>6</v>
      </c>
      <c r="J120" s="234">
        <f>F120*H120</f>
        <v>475</v>
      </c>
      <c r="K120" s="121" t="s">
        <v>14</v>
      </c>
      <c r="L120" s="123"/>
      <c r="M120" s="123"/>
    </row>
    <row r="121" spans="1:26" ht="13.8" thickBot="1" x14ac:dyDescent="0.3">
      <c r="B121" s="121"/>
      <c r="C121" s="121" t="s">
        <v>409</v>
      </c>
      <c r="D121" s="123"/>
      <c r="E121" s="121"/>
      <c r="F121" s="118">
        <v>7000</v>
      </c>
      <c r="G121" s="121" t="s">
        <v>21</v>
      </c>
      <c r="H121" s="99">
        <v>0.46</v>
      </c>
      <c r="I121" s="122" t="s">
        <v>6</v>
      </c>
      <c r="J121" s="234">
        <f>F121*H121</f>
        <v>3220</v>
      </c>
      <c r="K121" s="121" t="s">
        <v>14</v>
      </c>
      <c r="L121" s="123"/>
      <c r="M121" s="123"/>
    </row>
    <row r="122" spans="1:26" ht="13.8" thickBot="1" x14ac:dyDescent="0.3">
      <c r="B122" s="121"/>
      <c r="C122" s="121" t="s">
        <v>502</v>
      </c>
      <c r="D122" s="123"/>
      <c r="E122" s="121"/>
      <c r="F122" s="118">
        <v>600</v>
      </c>
      <c r="G122" s="121" t="s">
        <v>55</v>
      </c>
      <c r="H122" s="99">
        <v>13</v>
      </c>
      <c r="I122" s="122" t="s">
        <v>56</v>
      </c>
      <c r="J122" s="234">
        <f t="shared" ref="J122:J124" si="8">F122*H122</f>
        <v>7800</v>
      </c>
      <c r="K122" s="121" t="s">
        <v>14</v>
      </c>
      <c r="L122" s="123"/>
      <c r="M122" s="123"/>
    </row>
    <row r="123" spans="1:26" ht="13.8" thickBot="1" x14ac:dyDescent="0.3">
      <c r="B123" s="121"/>
      <c r="C123" s="121" t="s">
        <v>280</v>
      </c>
      <c r="D123" s="121"/>
      <c r="E123" s="121"/>
      <c r="F123" s="96"/>
      <c r="G123" s="121" t="s">
        <v>21</v>
      </c>
      <c r="H123" s="99"/>
      <c r="I123" s="122" t="s">
        <v>6</v>
      </c>
      <c r="J123" s="234">
        <f t="shared" si="8"/>
        <v>0</v>
      </c>
      <c r="K123" s="121" t="s">
        <v>14</v>
      </c>
      <c r="L123" s="123"/>
      <c r="M123" s="123"/>
    </row>
    <row r="124" spans="1:26" ht="13.8" thickBot="1" x14ac:dyDescent="0.3">
      <c r="B124" s="121"/>
      <c r="C124" s="121" t="s">
        <v>280</v>
      </c>
      <c r="D124" s="121"/>
      <c r="E124" s="121"/>
      <c r="F124" s="96"/>
      <c r="G124" s="121" t="s">
        <v>21</v>
      </c>
      <c r="H124" s="98"/>
      <c r="I124" s="122" t="s">
        <v>6</v>
      </c>
      <c r="J124" s="234">
        <f t="shared" si="8"/>
        <v>0</v>
      </c>
      <c r="K124" s="121" t="s">
        <v>14</v>
      </c>
      <c r="L124" s="123"/>
      <c r="M124" s="123"/>
    </row>
    <row r="125" spans="1:26" s="8" customFormat="1" x14ac:dyDescent="0.25">
      <c r="A125" s="369"/>
      <c r="B125" s="270"/>
      <c r="C125" s="270" t="s">
        <v>196</v>
      </c>
      <c r="D125" s="270"/>
      <c r="E125" s="270"/>
      <c r="F125" s="274"/>
      <c r="G125" s="270"/>
      <c r="H125" s="275"/>
      <c r="I125" s="271"/>
      <c r="J125" s="276">
        <f>SUM(J119:J124)</f>
        <v>12020</v>
      </c>
      <c r="K125" s="270" t="s">
        <v>14</v>
      </c>
      <c r="L125" s="270"/>
      <c r="M125" s="270"/>
      <c r="N125"/>
      <c r="O125"/>
      <c r="P125"/>
      <c r="Q125"/>
      <c r="R125"/>
      <c r="S125"/>
      <c r="T125"/>
      <c r="U125"/>
      <c r="Y125"/>
      <c r="Z125"/>
    </row>
    <row r="126" spans="1:26" x14ac:dyDescent="0.25">
      <c r="B126" s="121"/>
      <c r="C126" s="121"/>
      <c r="D126" s="121"/>
      <c r="E126" s="121"/>
      <c r="F126" s="121"/>
      <c r="G126" s="121"/>
      <c r="H126" s="122"/>
      <c r="I126" s="122"/>
      <c r="J126" s="123"/>
      <c r="K126" s="123"/>
      <c r="L126" s="123"/>
      <c r="M126" s="123"/>
      <c r="N126" s="8"/>
      <c r="O126" s="8"/>
      <c r="P126" s="8"/>
      <c r="Q126" s="8"/>
      <c r="R126" s="8"/>
      <c r="S126" s="8"/>
      <c r="T126" s="8"/>
      <c r="U126" s="8"/>
      <c r="Y126" s="8"/>
      <c r="Z126" s="8"/>
    </row>
    <row r="127" spans="1:26" ht="33" customHeight="1" x14ac:dyDescent="0.25">
      <c r="B127" s="535"/>
      <c r="C127" s="535"/>
      <c r="D127" s="535"/>
      <c r="E127" s="535"/>
      <c r="F127" s="535"/>
      <c r="G127" s="535"/>
      <c r="H127" s="537"/>
      <c r="I127" s="537"/>
      <c r="J127" s="534"/>
      <c r="K127" s="534"/>
      <c r="L127" s="534"/>
      <c r="M127" s="534"/>
    </row>
    <row r="128" spans="1:26" ht="15.6" x14ac:dyDescent="0.3">
      <c r="B128" s="109" t="s">
        <v>503</v>
      </c>
      <c r="C128" s="72"/>
      <c r="D128" s="72"/>
      <c r="E128" s="72"/>
      <c r="F128" s="957" t="s">
        <v>159</v>
      </c>
      <c r="G128" s="957"/>
      <c r="H128" s="958" t="s">
        <v>158</v>
      </c>
      <c r="I128" s="958"/>
      <c r="J128" s="957" t="s">
        <v>324</v>
      </c>
      <c r="K128" s="957"/>
      <c r="L128" s="79"/>
      <c r="M128" s="79"/>
    </row>
    <row r="129" spans="1:26" ht="15.6" x14ac:dyDescent="0.3">
      <c r="B129" s="109"/>
      <c r="C129" s="72"/>
      <c r="D129" s="462" t="s">
        <v>364</v>
      </c>
      <c r="E129" s="72"/>
      <c r="F129" s="478"/>
      <c r="G129" s="478"/>
      <c r="H129" s="475"/>
      <c r="I129" s="475"/>
      <c r="J129" s="478"/>
      <c r="K129" s="478"/>
      <c r="L129" s="79"/>
      <c r="M129" s="79"/>
    </row>
    <row r="130" spans="1:26" ht="13.8" thickBot="1" x14ac:dyDescent="0.3">
      <c r="B130" s="214" t="s">
        <v>357</v>
      </c>
      <c r="C130" s="72"/>
      <c r="D130" s="72"/>
      <c r="E130" s="72"/>
      <c r="F130" s="74"/>
      <c r="G130" s="74"/>
      <c r="H130" s="73"/>
      <c r="I130" s="73"/>
      <c r="J130" s="79"/>
      <c r="K130" s="79"/>
      <c r="L130" s="79"/>
      <c r="M130" s="79"/>
    </row>
    <row r="131" spans="1:26" ht="13.8" thickBot="1" x14ac:dyDescent="0.3">
      <c r="B131" s="72"/>
      <c r="C131" s="72" t="s">
        <v>413</v>
      </c>
      <c r="D131" s="79"/>
      <c r="E131" s="72"/>
      <c r="F131" s="119">
        <v>3.3</v>
      </c>
      <c r="G131" s="74" t="s">
        <v>20</v>
      </c>
      <c r="H131" s="99">
        <v>16.8</v>
      </c>
      <c r="I131" s="73" t="s">
        <v>5</v>
      </c>
      <c r="J131" s="79">
        <f>F131*H131</f>
        <v>55.44</v>
      </c>
      <c r="K131" s="72" t="s">
        <v>14</v>
      </c>
      <c r="L131" s="79"/>
      <c r="M131" s="79"/>
    </row>
    <row r="132" spans="1:26" ht="13.8" thickBot="1" x14ac:dyDescent="0.3">
      <c r="B132" s="72"/>
      <c r="C132" s="72" t="s">
        <v>326</v>
      </c>
      <c r="D132" s="72"/>
      <c r="E132" s="72"/>
      <c r="F132" s="119"/>
      <c r="G132" s="74" t="s">
        <v>20</v>
      </c>
      <c r="H132" s="99"/>
      <c r="I132" s="73" t="s">
        <v>5</v>
      </c>
      <c r="J132" s="79">
        <f t="shared" ref="J132:J138" si="9">F132*H132</f>
        <v>0</v>
      </c>
      <c r="K132" s="72" t="s">
        <v>14</v>
      </c>
      <c r="L132" s="79"/>
      <c r="M132" s="79"/>
    </row>
    <row r="133" spans="1:26" ht="13.8" thickBot="1" x14ac:dyDescent="0.3">
      <c r="B133" s="72"/>
      <c r="C133" s="72" t="s">
        <v>326</v>
      </c>
      <c r="D133" s="72"/>
      <c r="E133" s="72"/>
      <c r="F133" s="119"/>
      <c r="G133" s="74" t="s">
        <v>20</v>
      </c>
      <c r="H133" s="99"/>
      <c r="I133" s="73" t="s">
        <v>5</v>
      </c>
      <c r="J133" s="79">
        <f t="shared" si="9"/>
        <v>0</v>
      </c>
      <c r="K133" s="72" t="s">
        <v>14</v>
      </c>
      <c r="L133" s="79"/>
      <c r="M133" s="79"/>
    </row>
    <row r="134" spans="1:26" x14ac:dyDescent="0.25">
      <c r="B134" s="72"/>
      <c r="C134" s="72"/>
      <c r="D134" s="72"/>
      <c r="E134" s="72"/>
      <c r="F134" s="212"/>
      <c r="G134" s="74"/>
      <c r="H134" s="213"/>
      <c r="I134" s="73"/>
      <c r="J134" s="79"/>
      <c r="K134" s="72"/>
      <c r="L134" s="79"/>
      <c r="M134" s="79"/>
    </row>
    <row r="135" spans="1:26" ht="13.8" thickBot="1" x14ac:dyDescent="0.3">
      <c r="B135" s="214" t="s">
        <v>358</v>
      </c>
      <c r="C135" s="72"/>
      <c r="D135" s="72"/>
      <c r="E135" s="72"/>
      <c r="F135" s="212"/>
      <c r="G135" s="74"/>
      <c r="H135" s="213"/>
      <c r="I135" s="73"/>
      <c r="J135" s="79"/>
      <c r="K135" s="72"/>
      <c r="L135" s="79"/>
      <c r="M135" s="79"/>
    </row>
    <row r="136" spans="1:26" ht="13.8" thickBot="1" x14ac:dyDescent="0.3">
      <c r="B136" s="72"/>
      <c r="C136" s="72" t="s">
        <v>326</v>
      </c>
      <c r="D136" s="72"/>
      <c r="E136" s="72"/>
      <c r="F136" s="119"/>
      <c r="G136" s="74"/>
      <c r="H136" s="119"/>
      <c r="I136" s="73"/>
      <c r="J136" s="79">
        <f t="shared" si="9"/>
        <v>0</v>
      </c>
      <c r="K136" s="72" t="s">
        <v>14</v>
      </c>
      <c r="L136" s="79"/>
      <c r="M136" s="79"/>
    </row>
    <row r="137" spans="1:26" ht="13.8" thickBot="1" x14ac:dyDescent="0.3">
      <c r="B137" s="72"/>
      <c r="C137" s="72" t="s">
        <v>326</v>
      </c>
      <c r="D137" s="72"/>
      <c r="E137" s="72"/>
      <c r="F137" s="119"/>
      <c r="G137" s="74"/>
      <c r="H137" s="119"/>
      <c r="I137" s="73"/>
      <c r="J137" s="79">
        <f t="shared" si="9"/>
        <v>0</v>
      </c>
      <c r="K137" s="72" t="s">
        <v>14</v>
      </c>
      <c r="L137" s="79"/>
      <c r="M137" s="79"/>
    </row>
    <row r="138" spans="1:26" ht="13.8" thickBot="1" x14ac:dyDescent="0.3">
      <c r="B138" s="72"/>
      <c r="C138" s="72" t="s">
        <v>326</v>
      </c>
      <c r="D138" s="72"/>
      <c r="E138" s="72"/>
      <c r="F138" s="119"/>
      <c r="G138" s="74"/>
      <c r="H138" s="119"/>
      <c r="I138" s="73"/>
      <c r="J138" s="79">
        <f t="shared" si="9"/>
        <v>0</v>
      </c>
      <c r="K138" s="72" t="s">
        <v>14</v>
      </c>
      <c r="L138" s="79"/>
      <c r="M138" s="79"/>
    </row>
    <row r="139" spans="1:26" s="8" customFormat="1" x14ac:dyDescent="0.25">
      <c r="A139" s="369"/>
      <c r="B139" s="241"/>
      <c r="C139" s="241" t="s">
        <v>196</v>
      </c>
      <c r="D139" s="241"/>
      <c r="E139" s="241"/>
      <c r="F139" s="273"/>
      <c r="G139" s="242"/>
      <c r="H139" s="273"/>
      <c r="I139" s="243"/>
      <c r="J139" s="241">
        <f>SUM(J131:J138)</f>
        <v>55.44</v>
      </c>
      <c r="K139" s="241" t="s">
        <v>14</v>
      </c>
      <c r="L139" s="241"/>
      <c r="M139" s="241"/>
      <c r="N139"/>
      <c r="O139"/>
      <c r="P139"/>
      <c r="Q139"/>
      <c r="R139"/>
      <c r="S139"/>
      <c r="T139"/>
      <c r="U139"/>
      <c r="Y139"/>
      <c r="Z139"/>
    </row>
    <row r="140" spans="1:26" x14ac:dyDescent="0.25">
      <c r="B140" s="72"/>
      <c r="C140" s="72"/>
      <c r="D140" s="72"/>
      <c r="E140" s="72"/>
      <c r="F140" s="74"/>
      <c r="G140" s="74"/>
      <c r="H140" s="73"/>
      <c r="I140" s="73"/>
      <c r="J140" s="79"/>
      <c r="K140" s="72"/>
      <c r="L140" s="79"/>
      <c r="M140" s="79"/>
      <c r="N140" s="8"/>
      <c r="O140" s="8"/>
      <c r="P140" s="8"/>
      <c r="Q140" s="8"/>
      <c r="R140" s="8"/>
      <c r="S140" s="8"/>
      <c r="T140" s="8"/>
      <c r="U140" s="8"/>
      <c r="Y140" s="8"/>
      <c r="Z140" s="8"/>
    </row>
    <row r="141" spans="1:26" s="5" customFormat="1" ht="30" customHeight="1" x14ac:dyDescent="0.25">
      <c r="A141" s="129"/>
      <c r="B141" s="535"/>
      <c r="C141" s="535"/>
      <c r="D141" s="535"/>
      <c r="E141" s="535"/>
      <c r="F141" s="539"/>
      <c r="G141" s="539"/>
      <c r="H141" s="537"/>
      <c r="I141" s="537"/>
      <c r="J141" s="534"/>
      <c r="K141" s="535"/>
      <c r="L141" s="534"/>
      <c r="M141" s="534"/>
      <c r="N141"/>
      <c r="O141"/>
      <c r="P141"/>
      <c r="Q141"/>
      <c r="R141"/>
      <c r="S141"/>
      <c r="T141"/>
      <c r="U141"/>
      <c r="Y141"/>
      <c r="Z141"/>
    </row>
    <row r="142" spans="1:26" ht="15.6" x14ac:dyDescent="0.3">
      <c r="B142" s="219" t="s">
        <v>414</v>
      </c>
      <c r="C142" s="220"/>
      <c r="D142" s="220"/>
      <c r="E142" s="220"/>
      <c r="F142" s="964" t="s">
        <v>159</v>
      </c>
      <c r="G142" s="964"/>
      <c r="H142" s="964" t="s">
        <v>158</v>
      </c>
      <c r="I142" s="964"/>
      <c r="J142" s="964" t="s">
        <v>324</v>
      </c>
      <c r="K142" s="964"/>
      <c r="L142" s="222"/>
      <c r="M142" s="222"/>
      <c r="N142" s="5"/>
      <c r="O142" s="5"/>
      <c r="P142" s="5"/>
      <c r="Q142" s="5"/>
      <c r="R142" s="5"/>
      <c r="S142" s="5"/>
      <c r="T142" s="5"/>
      <c r="U142" s="5"/>
      <c r="Y142" s="5"/>
      <c r="Z142" s="5"/>
    </row>
    <row r="143" spans="1:26" ht="13.8" thickBot="1" x14ac:dyDescent="0.3">
      <c r="B143" s="220"/>
      <c r="C143" s="220"/>
      <c r="D143" s="220"/>
      <c r="E143" s="220"/>
      <c r="F143" s="220"/>
      <c r="G143" s="220"/>
      <c r="H143" s="221"/>
      <c r="I143" s="221"/>
      <c r="J143" s="222"/>
      <c r="K143" s="222"/>
      <c r="L143" s="222"/>
      <c r="M143" s="222"/>
    </row>
    <row r="144" spans="1:26" ht="13.8" thickBot="1" x14ac:dyDescent="0.3">
      <c r="B144" s="220"/>
      <c r="C144" s="220" t="s">
        <v>294</v>
      </c>
      <c r="D144" s="222"/>
      <c r="E144" s="220"/>
      <c r="F144" s="96"/>
      <c r="G144" s="220" t="s">
        <v>0</v>
      </c>
      <c r="H144" s="99"/>
      <c r="I144" s="221" t="s">
        <v>14</v>
      </c>
      <c r="J144" s="223">
        <f t="shared" ref="J144:J146" si="10">F144*H144</f>
        <v>0</v>
      </c>
      <c r="K144" s="220" t="s">
        <v>14</v>
      </c>
      <c r="L144" s="222"/>
      <c r="M144" s="222"/>
    </row>
    <row r="145" spans="1:26" ht="13.8" thickBot="1" x14ac:dyDescent="0.3">
      <c r="B145" s="220"/>
      <c r="C145" s="220" t="s">
        <v>294</v>
      </c>
      <c r="D145" s="220"/>
      <c r="E145" s="220"/>
      <c r="F145" s="96"/>
      <c r="G145" s="220" t="s">
        <v>0</v>
      </c>
      <c r="H145" s="99"/>
      <c r="I145" s="221" t="s">
        <v>14</v>
      </c>
      <c r="J145" s="223">
        <f t="shared" si="10"/>
        <v>0</v>
      </c>
      <c r="K145" s="220" t="s">
        <v>14</v>
      </c>
      <c r="L145" s="222"/>
      <c r="M145" s="222"/>
    </row>
    <row r="146" spans="1:26" ht="13.8" thickBot="1" x14ac:dyDescent="0.3">
      <c r="B146" s="220"/>
      <c r="C146" s="220" t="s">
        <v>294</v>
      </c>
      <c r="D146" s="220"/>
      <c r="E146" s="220"/>
      <c r="F146" s="96"/>
      <c r="G146" s="220" t="s">
        <v>0</v>
      </c>
      <c r="H146" s="99"/>
      <c r="I146" s="221" t="s">
        <v>14</v>
      </c>
      <c r="J146" s="223">
        <f t="shared" si="10"/>
        <v>0</v>
      </c>
      <c r="K146" s="220" t="s">
        <v>14</v>
      </c>
      <c r="L146" s="222"/>
      <c r="M146" s="222"/>
    </row>
    <row r="147" spans="1:26" s="8" customFormat="1" x14ac:dyDescent="0.25">
      <c r="A147" s="369"/>
      <c r="B147" s="255"/>
      <c r="C147" s="255" t="s">
        <v>196</v>
      </c>
      <c r="D147" s="255"/>
      <c r="E147" s="255"/>
      <c r="F147" s="256"/>
      <c r="G147" s="255"/>
      <c r="H147" s="257"/>
      <c r="I147" s="258"/>
      <c r="J147" s="259">
        <f>SUM(J144:J146)</f>
        <v>0</v>
      </c>
      <c r="K147" s="255" t="s">
        <v>14</v>
      </c>
      <c r="L147" s="255"/>
      <c r="M147" s="255"/>
      <c r="N147"/>
      <c r="O147"/>
      <c r="P147"/>
      <c r="Q147"/>
      <c r="R147"/>
      <c r="S147"/>
      <c r="T147"/>
      <c r="U147"/>
      <c r="Y147"/>
      <c r="Z147"/>
    </row>
    <row r="148" spans="1:26" x14ac:dyDescent="0.25">
      <c r="B148" s="220"/>
      <c r="C148" s="220"/>
      <c r="D148" s="220"/>
      <c r="E148" s="220"/>
      <c r="F148" s="220"/>
      <c r="G148" s="220"/>
      <c r="H148" s="221"/>
      <c r="I148" s="221"/>
      <c r="J148" s="223"/>
      <c r="K148" s="220"/>
      <c r="L148" s="222"/>
      <c r="M148" s="222"/>
      <c r="N148" s="8"/>
      <c r="O148" s="8"/>
      <c r="P148" s="8"/>
      <c r="Q148" s="8"/>
      <c r="R148" s="8"/>
      <c r="S148" s="8"/>
      <c r="T148" s="8"/>
      <c r="U148" s="8"/>
      <c r="Y148" s="8"/>
      <c r="Z148" s="8"/>
    </row>
    <row r="149" spans="1:26" ht="33" customHeight="1" x14ac:dyDescent="0.25">
      <c r="B149" s="534"/>
      <c r="C149" s="534"/>
      <c r="D149" s="534"/>
      <c r="E149" s="534"/>
      <c r="F149" s="534"/>
      <c r="G149" s="534"/>
      <c r="H149" s="534"/>
      <c r="I149" s="534"/>
      <c r="J149" s="534"/>
      <c r="K149" s="534"/>
      <c r="L149" s="534"/>
      <c r="M149" s="534"/>
    </row>
    <row r="150" spans="1:26" ht="15.6" x14ac:dyDescent="0.3">
      <c r="B150" s="225" t="s">
        <v>415</v>
      </c>
      <c r="C150" s="226"/>
      <c r="D150" s="226"/>
      <c r="E150" s="227"/>
      <c r="F150" s="226" t="s">
        <v>159</v>
      </c>
      <c r="G150" s="228"/>
      <c r="H150" s="228" t="s">
        <v>158</v>
      </c>
      <c r="I150" s="226"/>
      <c r="J150" s="226" t="s">
        <v>324</v>
      </c>
      <c r="K150" s="229"/>
      <c r="L150" s="229"/>
      <c r="M150" s="229"/>
    </row>
    <row r="151" spans="1:26" ht="16.2" thickBot="1" x14ac:dyDescent="0.35">
      <c r="B151" s="225"/>
      <c r="C151" s="226"/>
      <c r="D151" s="226"/>
      <c r="E151" s="227"/>
      <c r="F151" s="226"/>
      <c r="G151" s="228"/>
      <c r="H151" s="228"/>
      <c r="I151" s="226"/>
      <c r="J151" s="226"/>
      <c r="K151" s="229"/>
      <c r="L151" s="229"/>
      <c r="M151" s="229"/>
    </row>
    <row r="152" spans="1:26" ht="13.8" thickBot="1" x14ac:dyDescent="0.3">
      <c r="B152" s="226"/>
      <c r="C152" s="226" t="s">
        <v>296</v>
      </c>
      <c r="D152" s="229"/>
      <c r="E152" s="230"/>
      <c r="F152" s="96"/>
      <c r="G152" s="231" t="s">
        <v>18</v>
      </c>
      <c r="H152" s="96"/>
      <c r="I152" s="232" t="s">
        <v>10</v>
      </c>
      <c r="J152" s="229">
        <f>H152*F152</f>
        <v>0</v>
      </c>
      <c r="K152" s="232" t="s">
        <v>14</v>
      </c>
      <c r="L152" s="229"/>
      <c r="M152" s="229"/>
    </row>
    <row r="153" spans="1:26" ht="13.8" thickBot="1" x14ac:dyDescent="0.3">
      <c r="B153" s="226"/>
      <c r="C153" s="226" t="s">
        <v>297</v>
      </c>
      <c r="D153" s="232">
        <f>F185/2</f>
        <v>82.75</v>
      </c>
      <c r="E153" s="226" t="s">
        <v>9</v>
      </c>
      <c r="F153" s="96">
        <f>+D153*8</f>
        <v>662</v>
      </c>
      <c r="G153" s="228" t="s">
        <v>20</v>
      </c>
      <c r="H153" s="96">
        <v>0.83</v>
      </c>
      <c r="I153" s="232" t="s">
        <v>5</v>
      </c>
      <c r="J153" s="229">
        <f>H153*F153</f>
        <v>549.45999999999992</v>
      </c>
      <c r="K153" s="232" t="s">
        <v>14</v>
      </c>
      <c r="L153" s="229"/>
      <c r="M153" s="229"/>
    </row>
    <row r="154" spans="1:26" ht="13.8" thickBot="1" x14ac:dyDescent="0.3">
      <c r="B154" s="226"/>
      <c r="C154" s="226" t="s">
        <v>298</v>
      </c>
      <c r="D154" s="232">
        <f>D153</f>
        <v>82.75</v>
      </c>
      <c r="E154" s="226" t="s">
        <v>9</v>
      </c>
      <c r="F154" s="96">
        <v>11.88</v>
      </c>
      <c r="G154" s="228" t="s">
        <v>21</v>
      </c>
      <c r="H154" s="96">
        <v>4</v>
      </c>
      <c r="I154" s="232" t="s">
        <v>6</v>
      </c>
      <c r="J154" s="229">
        <f t="shared" ref="J154:J158" si="11">H154*F154</f>
        <v>47.52</v>
      </c>
      <c r="K154" s="232" t="s">
        <v>14</v>
      </c>
      <c r="L154" s="229"/>
      <c r="M154" s="229"/>
    </row>
    <row r="155" spans="1:26" ht="13.8" thickBot="1" x14ac:dyDescent="0.3">
      <c r="B155" s="226"/>
      <c r="C155" s="226" t="s">
        <v>19</v>
      </c>
      <c r="D155" s="229"/>
      <c r="E155" s="232"/>
      <c r="F155" s="96">
        <v>200</v>
      </c>
      <c r="G155" s="228" t="s">
        <v>20</v>
      </c>
      <c r="H155" s="96">
        <v>1.53</v>
      </c>
      <c r="I155" s="232" t="s">
        <v>5</v>
      </c>
      <c r="J155" s="229">
        <f t="shared" si="11"/>
        <v>306</v>
      </c>
      <c r="K155" s="232" t="s">
        <v>14</v>
      </c>
      <c r="L155" s="229"/>
      <c r="M155" s="229"/>
    </row>
    <row r="156" spans="1:26" ht="13.8" thickBot="1" x14ac:dyDescent="0.3">
      <c r="B156" s="226"/>
      <c r="C156" s="226" t="s">
        <v>299</v>
      </c>
      <c r="D156" s="229"/>
      <c r="E156" s="232"/>
      <c r="F156" s="96">
        <v>1.48</v>
      </c>
      <c r="G156" s="228" t="s">
        <v>20</v>
      </c>
      <c r="H156" s="96">
        <v>1.6</v>
      </c>
      <c r="I156" s="232" t="s">
        <v>5</v>
      </c>
      <c r="J156" s="229">
        <f t="shared" si="11"/>
        <v>2.3679999999999999</v>
      </c>
      <c r="K156" s="232" t="s">
        <v>14</v>
      </c>
      <c r="L156" s="229"/>
      <c r="M156" s="229"/>
    </row>
    <row r="157" spans="1:26" ht="13.8" thickBot="1" x14ac:dyDescent="0.3">
      <c r="B157" s="226"/>
      <c r="C157" s="226" t="s">
        <v>416</v>
      </c>
      <c r="D157" s="229"/>
      <c r="E157" s="232"/>
      <c r="F157" s="96"/>
      <c r="G157" s="228"/>
      <c r="H157" s="96"/>
      <c r="I157" s="232"/>
      <c r="J157" s="229">
        <f t="shared" si="11"/>
        <v>0</v>
      </c>
      <c r="K157" s="232" t="s">
        <v>14</v>
      </c>
      <c r="L157" s="229"/>
      <c r="M157" s="229"/>
    </row>
    <row r="158" spans="1:26" ht="13.8" thickBot="1" x14ac:dyDescent="0.3">
      <c r="B158" s="229"/>
      <c r="C158" s="260" t="s">
        <v>416</v>
      </c>
      <c r="D158" s="229"/>
      <c r="E158" s="229"/>
      <c r="F158" s="96"/>
      <c r="G158" s="229"/>
      <c r="H158" s="96"/>
      <c r="I158" s="229"/>
      <c r="J158" s="229">
        <f t="shared" si="11"/>
        <v>0</v>
      </c>
      <c r="K158" s="232" t="s">
        <v>14</v>
      </c>
      <c r="L158" s="229"/>
      <c r="M158" s="229"/>
    </row>
    <row r="159" spans="1:26" s="8" customFormat="1" x14ac:dyDescent="0.25">
      <c r="A159" s="369"/>
      <c r="B159" s="260"/>
      <c r="C159" s="260" t="s">
        <v>196</v>
      </c>
      <c r="D159" s="260"/>
      <c r="E159" s="260"/>
      <c r="F159" s="261"/>
      <c r="G159" s="260"/>
      <c r="H159" s="261"/>
      <c r="I159" s="260"/>
      <c r="J159" s="260">
        <f>SUM(J152:J158)</f>
        <v>905.34799999999996</v>
      </c>
      <c r="K159" s="262" t="s">
        <v>14</v>
      </c>
      <c r="L159" s="260"/>
      <c r="M159" s="260"/>
      <c r="N159"/>
      <c r="O159"/>
      <c r="P159"/>
      <c r="Q159"/>
      <c r="R159"/>
      <c r="S159"/>
      <c r="T159"/>
      <c r="U159"/>
      <c r="Y159"/>
      <c r="Z159"/>
    </row>
    <row r="160" spans="1:26" x14ac:dyDescent="0.25">
      <c r="B160" s="229"/>
      <c r="C160" s="229"/>
      <c r="D160" s="229"/>
      <c r="E160" s="229"/>
      <c r="F160" s="229"/>
      <c r="G160" s="229"/>
      <c r="H160" s="229"/>
      <c r="I160" s="229"/>
      <c r="J160" s="229"/>
      <c r="K160" s="229"/>
      <c r="L160" s="229"/>
      <c r="M160" s="229"/>
      <c r="N160" s="8"/>
      <c r="O160" s="8"/>
      <c r="P160" s="8"/>
      <c r="Q160" s="8"/>
      <c r="R160" s="8"/>
      <c r="S160" s="8"/>
      <c r="T160" s="8"/>
      <c r="U160" s="8"/>
      <c r="Y160" s="8"/>
      <c r="Z160" s="8"/>
    </row>
    <row r="161" spans="2:13" ht="34.950000000000003" customHeight="1" x14ac:dyDescent="0.25">
      <c r="B161" s="534"/>
      <c r="C161" s="534"/>
      <c r="D161" s="534"/>
      <c r="E161" s="534"/>
      <c r="F161" s="534"/>
      <c r="G161" s="534"/>
      <c r="H161" s="534"/>
      <c r="I161" s="534"/>
      <c r="J161" s="534"/>
      <c r="K161" s="534"/>
      <c r="L161" s="534"/>
      <c r="M161" s="534"/>
    </row>
    <row r="162" spans="2:13" ht="22.05" customHeight="1" x14ac:dyDescent="0.3">
      <c r="B162" s="112" t="s">
        <v>417</v>
      </c>
      <c r="C162" s="101"/>
      <c r="D162" s="101"/>
      <c r="E162" s="101"/>
      <c r="F162" s="101"/>
      <c r="G162" s="101"/>
      <c r="H162" s="101"/>
      <c r="I162" s="101"/>
      <c r="J162" s="101"/>
      <c r="K162" s="101"/>
      <c r="L162" s="101"/>
      <c r="M162" s="101"/>
    </row>
    <row r="163" spans="2:13" ht="22.05" customHeight="1" x14ac:dyDescent="0.3">
      <c r="B163" s="112"/>
      <c r="C163" s="101"/>
      <c r="D163" s="101"/>
      <c r="E163" s="101"/>
      <c r="F163" s="101"/>
      <c r="G163" s="101"/>
      <c r="H163" s="101"/>
      <c r="I163" s="101"/>
      <c r="J163" s="101"/>
      <c r="K163" s="101"/>
      <c r="L163" s="101"/>
      <c r="M163" s="101"/>
    </row>
    <row r="164" spans="2:13" ht="49.95" customHeight="1" x14ac:dyDescent="0.25">
      <c r="B164" s="961" t="s">
        <v>302</v>
      </c>
      <c r="C164" s="961"/>
      <c r="D164" s="961"/>
      <c r="E164" s="961"/>
      <c r="F164" s="961"/>
      <c r="G164" s="961"/>
      <c r="H164" s="961"/>
      <c r="I164" s="961"/>
      <c r="J164" s="961"/>
      <c r="K164" s="961"/>
      <c r="L164" s="961"/>
      <c r="M164" s="961"/>
    </row>
    <row r="165" spans="2:13" ht="22.05" customHeight="1" x14ac:dyDescent="0.3">
      <c r="B165" s="112"/>
      <c r="C165" s="101"/>
      <c r="D165" s="101"/>
      <c r="E165" s="834"/>
      <c r="F165" s="834"/>
      <c r="G165" s="834"/>
      <c r="H165" s="835"/>
      <c r="I165" s="835"/>
      <c r="J165" s="834"/>
      <c r="K165" s="834"/>
      <c r="L165" s="835"/>
      <c r="M165" s="835"/>
    </row>
    <row r="166" spans="2:13" ht="22.05" customHeight="1" x14ac:dyDescent="0.3">
      <c r="B166" s="112"/>
      <c r="C166" s="101"/>
      <c r="D166" s="101"/>
      <c r="E166" s="962" t="s">
        <v>303</v>
      </c>
      <c r="F166" s="962"/>
      <c r="G166" s="962"/>
      <c r="H166" s="963" t="s">
        <v>158</v>
      </c>
      <c r="I166" s="963"/>
      <c r="J166" s="963" t="s">
        <v>304</v>
      </c>
      <c r="K166" s="963"/>
      <c r="L166" s="963" t="s">
        <v>158</v>
      </c>
      <c r="M166" s="963"/>
    </row>
    <row r="167" spans="2:13" ht="10.95" customHeight="1" thickBot="1" x14ac:dyDescent="0.3">
      <c r="B167" s="100"/>
      <c r="C167" s="101"/>
      <c r="D167" s="101"/>
      <c r="E167" s="101"/>
      <c r="F167" s="101"/>
      <c r="G167" s="101"/>
      <c r="H167" s="101"/>
      <c r="I167" s="101"/>
      <c r="J167" s="101"/>
      <c r="K167" s="101"/>
      <c r="L167" s="101"/>
      <c r="M167" s="101"/>
    </row>
    <row r="168" spans="2:13" ht="13.8" thickBot="1" x14ac:dyDescent="0.3">
      <c r="B168" s="101"/>
      <c r="C168" s="102" t="s">
        <v>307</v>
      </c>
      <c r="D168" s="101"/>
      <c r="E168" s="101"/>
      <c r="F168" s="115">
        <v>2.5</v>
      </c>
      <c r="G168" s="104" t="s">
        <v>22</v>
      </c>
      <c r="H168" s="117">
        <v>14.5</v>
      </c>
      <c r="I168" s="104" t="s">
        <v>11</v>
      </c>
      <c r="J168" s="116"/>
      <c r="K168" s="104" t="s">
        <v>22</v>
      </c>
      <c r="L168" s="117">
        <v>14.5</v>
      </c>
      <c r="M168" s="104" t="s">
        <v>11</v>
      </c>
    </row>
    <row r="169" spans="2:13" ht="13.8" thickBot="1" x14ac:dyDescent="0.3">
      <c r="B169" s="101"/>
      <c r="C169" s="102" t="s">
        <v>467</v>
      </c>
      <c r="D169" s="101"/>
      <c r="E169" s="101"/>
      <c r="F169" s="115">
        <v>2</v>
      </c>
      <c r="G169" s="104" t="s">
        <v>22</v>
      </c>
      <c r="H169" s="114">
        <f t="shared" ref="H169:H184" si="12">$H$168</f>
        <v>14.5</v>
      </c>
      <c r="I169" s="104" t="s">
        <v>11</v>
      </c>
      <c r="J169" s="116"/>
      <c r="K169" s="104" t="s">
        <v>22</v>
      </c>
      <c r="L169" s="114">
        <f t="shared" ref="L169:L184" si="13">$L$168</f>
        <v>14.5</v>
      </c>
      <c r="M169" s="104" t="s">
        <v>11</v>
      </c>
    </row>
    <row r="170" spans="2:13" ht="13.8" thickBot="1" x14ac:dyDescent="0.3">
      <c r="B170" s="101"/>
      <c r="C170" s="102" t="s">
        <v>323</v>
      </c>
      <c r="D170" s="101"/>
      <c r="E170" s="101"/>
      <c r="F170" s="115">
        <v>1</v>
      </c>
      <c r="G170" s="104" t="s">
        <v>22</v>
      </c>
      <c r="H170" s="114">
        <f t="shared" si="12"/>
        <v>14.5</v>
      </c>
      <c r="I170" s="104" t="s">
        <v>11</v>
      </c>
      <c r="J170" s="116"/>
      <c r="K170" s="104" t="s">
        <v>22</v>
      </c>
      <c r="L170" s="114">
        <f t="shared" si="13"/>
        <v>14.5</v>
      </c>
      <c r="M170" s="104" t="s">
        <v>11</v>
      </c>
    </row>
    <row r="171" spans="2:13" ht="13.8" thickBot="1" x14ac:dyDescent="0.3">
      <c r="B171" s="101"/>
      <c r="C171" s="102" t="s">
        <v>430</v>
      </c>
      <c r="D171" s="101"/>
      <c r="E171" s="101"/>
      <c r="F171" s="116">
        <v>2</v>
      </c>
      <c r="G171" s="104" t="s">
        <v>22</v>
      </c>
      <c r="H171" s="114">
        <f t="shared" si="12"/>
        <v>14.5</v>
      </c>
      <c r="I171" s="104" t="s">
        <v>11</v>
      </c>
      <c r="J171" s="116"/>
      <c r="K171" s="104" t="s">
        <v>22</v>
      </c>
      <c r="L171" s="114">
        <f t="shared" si="13"/>
        <v>14.5</v>
      </c>
      <c r="M171" s="104" t="s">
        <v>11</v>
      </c>
    </row>
    <row r="172" spans="2:13" ht="13.8" thickBot="1" x14ac:dyDescent="0.3">
      <c r="B172" s="101"/>
      <c r="C172" s="102" t="s">
        <v>542</v>
      </c>
      <c r="D172" s="101"/>
      <c r="E172" s="101"/>
      <c r="F172" s="116">
        <v>3</v>
      </c>
      <c r="G172" s="104" t="s">
        <v>22</v>
      </c>
      <c r="H172" s="114">
        <f t="shared" si="12"/>
        <v>14.5</v>
      </c>
      <c r="I172" s="104" t="s">
        <v>11</v>
      </c>
      <c r="J172" s="116"/>
      <c r="K172" s="104" t="s">
        <v>22</v>
      </c>
      <c r="L172" s="114">
        <f t="shared" si="13"/>
        <v>14.5</v>
      </c>
      <c r="M172" s="104" t="s">
        <v>11</v>
      </c>
    </row>
    <row r="173" spans="2:13" ht="13.8" thickBot="1" x14ac:dyDescent="0.3">
      <c r="B173" s="101"/>
      <c r="C173" s="102" t="s">
        <v>590</v>
      </c>
      <c r="D173" s="101"/>
      <c r="E173" s="101"/>
      <c r="F173" s="115">
        <v>8</v>
      </c>
      <c r="G173" s="104" t="s">
        <v>22</v>
      </c>
      <c r="H173" s="114">
        <f t="shared" si="12"/>
        <v>14.5</v>
      </c>
      <c r="I173" s="104" t="s">
        <v>11</v>
      </c>
      <c r="J173" s="116"/>
      <c r="K173" s="104" t="s">
        <v>22</v>
      </c>
      <c r="L173" s="114">
        <f t="shared" si="13"/>
        <v>14.5</v>
      </c>
      <c r="M173" s="104" t="s">
        <v>11</v>
      </c>
    </row>
    <row r="174" spans="2:13" ht="13.8" thickBot="1" x14ac:dyDescent="0.3">
      <c r="B174" s="101"/>
      <c r="C174" s="102" t="s">
        <v>421</v>
      </c>
      <c r="D174" s="101"/>
      <c r="E174" s="101"/>
      <c r="F174" s="115">
        <v>25</v>
      </c>
      <c r="G174" s="104" t="s">
        <v>22</v>
      </c>
      <c r="H174" s="114">
        <f t="shared" si="12"/>
        <v>14.5</v>
      </c>
      <c r="I174" s="104" t="s">
        <v>11</v>
      </c>
      <c r="J174" s="116">
        <v>25</v>
      </c>
      <c r="K174" s="104" t="s">
        <v>22</v>
      </c>
      <c r="L174" s="114">
        <f t="shared" si="13"/>
        <v>14.5</v>
      </c>
      <c r="M174" s="104" t="s">
        <v>11</v>
      </c>
    </row>
    <row r="175" spans="2:13" ht="13.8" thickBot="1" x14ac:dyDescent="0.3">
      <c r="B175" s="101"/>
      <c r="C175" s="102" t="s">
        <v>591</v>
      </c>
      <c r="D175" s="101"/>
      <c r="E175" s="101"/>
      <c r="F175" s="115">
        <v>16</v>
      </c>
      <c r="G175" s="104" t="s">
        <v>22</v>
      </c>
      <c r="H175" s="114">
        <f t="shared" si="12"/>
        <v>14.5</v>
      </c>
      <c r="I175" s="104" t="s">
        <v>11</v>
      </c>
      <c r="J175" s="116"/>
      <c r="K175" s="104" t="s">
        <v>22</v>
      </c>
      <c r="L175" s="114">
        <f t="shared" si="13"/>
        <v>14.5</v>
      </c>
      <c r="M175" s="104" t="s">
        <v>11</v>
      </c>
    </row>
    <row r="176" spans="2:13" ht="13.8" thickBot="1" x14ac:dyDescent="0.3">
      <c r="B176" s="101"/>
      <c r="C176" s="102" t="s">
        <v>592</v>
      </c>
      <c r="D176" s="101"/>
      <c r="E176" s="101"/>
      <c r="F176" s="115">
        <v>6</v>
      </c>
      <c r="G176" s="104" t="s">
        <v>22</v>
      </c>
      <c r="H176" s="114">
        <f t="shared" si="12"/>
        <v>14.5</v>
      </c>
      <c r="I176" s="104" t="s">
        <v>11</v>
      </c>
      <c r="J176" s="116"/>
      <c r="K176" s="104" t="s">
        <v>22</v>
      </c>
      <c r="L176" s="114">
        <f t="shared" si="13"/>
        <v>14.5</v>
      </c>
      <c r="M176" s="104" t="s">
        <v>11</v>
      </c>
    </row>
    <row r="177" spans="1:26" ht="13.8" thickBot="1" x14ac:dyDescent="0.3">
      <c r="B177" s="101"/>
      <c r="C177" s="102" t="s">
        <v>593</v>
      </c>
      <c r="D177" s="101"/>
      <c r="E177" s="101"/>
      <c r="F177" s="115">
        <v>44</v>
      </c>
      <c r="G177" s="104" t="s">
        <v>22</v>
      </c>
      <c r="H177" s="114">
        <f t="shared" si="12"/>
        <v>14.5</v>
      </c>
      <c r="I177" s="104" t="s">
        <v>11</v>
      </c>
      <c r="J177" s="116"/>
      <c r="K177" s="104" t="s">
        <v>22</v>
      </c>
      <c r="L177" s="114">
        <f t="shared" si="13"/>
        <v>14.5</v>
      </c>
      <c r="M177" s="104" t="s">
        <v>11</v>
      </c>
    </row>
    <row r="178" spans="1:26" ht="13.8" thickBot="1" x14ac:dyDescent="0.3">
      <c r="B178" s="101"/>
      <c r="C178" s="102" t="s">
        <v>427</v>
      </c>
      <c r="D178" s="101"/>
      <c r="E178" s="101"/>
      <c r="F178" s="115">
        <v>20</v>
      </c>
      <c r="G178" s="104" t="s">
        <v>22</v>
      </c>
      <c r="H178" s="114">
        <f t="shared" si="12"/>
        <v>14.5</v>
      </c>
      <c r="I178" s="104" t="s">
        <v>11</v>
      </c>
      <c r="J178" s="116">
        <v>40</v>
      </c>
      <c r="K178" s="104" t="s">
        <v>22</v>
      </c>
      <c r="L178" s="114">
        <f t="shared" si="13"/>
        <v>14.5</v>
      </c>
      <c r="M178" s="104" t="s">
        <v>11</v>
      </c>
    </row>
    <row r="179" spans="1:26" ht="13.8" thickBot="1" x14ac:dyDescent="0.3">
      <c r="B179" s="101"/>
      <c r="C179" s="102" t="s">
        <v>317</v>
      </c>
      <c r="D179" s="101"/>
      <c r="E179" s="101"/>
      <c r="F179" s="115">
        <v>4</v>
      </c>
      <c r="G179" s="104" t="s">
        <v>22</v>
      </c>
      <c r="H179" s="114">
        <f t="shared" si="12"/>
        <v>14.5</v>
      </c>
      <c r="I179" s="104" t="s">
        <v>11</v>
      </c>
      <c r="J179" s="116"/>
      <c r="K179" s="104" t="s">
        <v>22</v>
      </c>
      <c r="L179" s="114">
        <f t="shared" si="13"/>
        <v>14.5</v>
      </c>
      <c r="M179" s="104" t="s">
        <v>11</v>
      </c>
    </row>
    <row r="180" spans="1:26" ht="13.8" thickBot="1" x14ac:dyDescent="0.3">
      <c r="B180" s="101"/>
      <c r="C180" s="102" t="s">
        <v>489</v>
      </c>
      <c r="D180" s="101"/>
      <c r="E180" s="101"/>
      <c r="F180" s="115">
        <v>20</v>
      </c>
      <c r="G180" s="104" t="s">
        <v>22</v>
      </c>
      <c r="H180" s="114">
        <f t="shared" si="12"/>
        <v>14.5</v>
      </c>
      <c r="I180" s="104" t="s">
        <v>11</v>
      </c>
      <c r="J180" s="116"/>
      <c r="K180" s="104" t="s">
        <v>22</v>
      </c>
      <c r="L180" s="114">
        <f t="shared" si="13"/>
        <v>14.5</v>
      </c>
      <c r="M180" s="104" t="s">
        <v>11</v>
      </c>
    </row>
    <row r="181" spans="1:26" ht="13.8" thickBot="1" x14ac:dyDescent="0.3">
      <c r="B181" s="101"/>
      <c r="C181" s="102" t="s">
        <v>594</v>
      </c>
      <c r="D181" s="101"/>
      <c r="E181" s="101"/>
      <c r="F181" s="116">
        <v>12</v>
      </c>
      <c r="G181" s="104" t="s">
        <v>22</v>
      </c>
      <c r="H181" s="114">
        <f t="shared" si="12"/>
        <v>14.5</v>
      </c>
      <c r="I181" s="104" t="s">
        <v>11</v>
      </c>
      <c r="J181" s="116"/>
      <c r="K181" s="104" t="s">
        <v>22</v>
      </c>
      <c r="L181" s="114">
        <f t="shared" si="13"/>
        <v>14.5</v>
      </c>
      <c r="M181" s="104" t="s">
        <v>11</v>
      </c>
    </row>
    <row r="182" spans="1:26" ht="13.8" thickBot="1" x14ac:dyDescent="0.3">
      <c r="B182" s="101"/>
      <c r="C182" s="102" t="s">
        <v>431</v>
      </c>
      <c r="D182" s="101"/>
      <c r="E182" s="101"/>
      <c r="F182" s="116"/>
      <c r="G182" s="104" t="s">
        <v>22</v>
      </c>
      <c r="H182" s="114">
        <f t="shared" si="12"/>
        <v>14.5</v>
      </c>
      <c r="I182" s="104" t="s">
        <v>11</v>
      </c>
      <c r="J182" s="97"/>
      <c r="K182" s="104" t="s">
        <v>22</v>
      </c>
      <c r="L182" s="114">
        <f t="shared" si="13"/>
        <v>14.5</v>
      </c>
      <c r="M182" s="104" t="s">
        <v>11</v>
      </c>
    </row>
    <row r="183" spans="1:26" ht="13.8" thickBot="1" x14ac:dyDescent="0.3">
      <c r="B183" s="101"/>
      <c r="C183" s="102" t="s">
        <v>431</v>
      </c>
      <c r="D183" s="101"/>
      <c r="E183" s="101"/>
      <c r="F183" s="116"/>
      <c r="G183" s="104" t="s">
        <v>22</v>
      </c>
      <c r="H183" s="114">
        <f t="shared" si="12"/>
        <v>14.5</v>
      </c>
      <c r="I183" s="104" t="s">
        <v>11</v>
      </c>
      <c r="J183" s="97"/>
      <c r="K183" s="104" t="s">
        <v>22</v>
      </c>
      <c r="L183" s="114">
        <f t="shared" si="13"/>
        <v>14.5</v>
      </c>
      <c r="M183" s="104" t="s">
        <v>11</v>
      </c>
    </row>
    <row r="184" spans="1:26" ht="13.8" thickBot="1" x14ac:dyDescent="0.3">
      <c r="B184" s="101"/>
      <c r="C184" s="102" t="s">
        <v>431</v>
      </c>
      <c r="D184" s="103"/>
      <c r="E184" s="103"/>
      <c r="F184" s="97"/>
      <c r="G184" s="104" t="s">
        <v>22</v>
      </c>
      <c r="H184" s="114">
        <f t="shared" si="12"/>
        <v>14.5</v>
      </c>
      <c r="I184" s="104" t="s">
        <v>11</v>
      </c>
      <c r="J184" s="97"/>
      <c r="K184" s="104" t="s">
        <v>22</v>
      </c>
      <c r="L184" s="114">
        <f t="shared" si="13"/>
        <v>14.5</v>
      </c>
      <c r="M184" s="104" t="s">
        <v>11</v>
      </c>
    </row>
    <row r="185" spans="1:26" s="8" customFormat="1" x14ac:dyDescent="0.25">
      <c r="A185" s="369"/>
      <c r="B185" s="264"/>
      <c r="C185" s="265" t="s">
        <v>196</v>
      </c>
      <c r="D185" s="266"/>
      <c r="E185" s="266"/>
      <c r="F185" s="267">
        <f>SUM(F168:F184)</f>
        <v>165.5</v>
      </c>
      <c r="G185" s="264" t="s">
        <v>22</v>
      </c>
      <c r="H185" s="268">
        <f>F185*H168</f>
        <v>2399.75</v>
      </c>
      <c r="I185" s="264" t="s">
        <v>14</v>
      </c>
      <c r="J185" s="269">
        <f>SUM(J168:J184)</f>
        <v>65</v>
      </c>
      <c r="K185" s="264" t="s">
        <v>22</v>
      </c>
      <c r="L185" s="268">
        <f>J185*L168</f>
        <v>942.5</v>
      </c>
      <c r="M185" s="264" t="s">
        <v>14</v>
      </c>
      <c r="N185"/>
      <c r="O185"/>
      <c r="P185"/>
      <c r="Q185"/>
      <c r="R185"/>
      <c r="S185"/>
      <c r="T185"/>
      <c r="U185"/>
      <c r="Y185"/>
      <c r="Z185"/>
    </row>
    <row r="186" spans="1:26" ht="57" customHeight="1" thickBot="1" x14ac:dyDescent="0.3">
      <c r="B186" s="534"/>
      <c r="C186" s="534"/>
      <c r="D186" s="534"/>
      <c r="E186" s="534"/>
      <c r="F186" s="534"/>
      <c r="G186" s="534"/>
      <c r="H186" s="534"/>
      <c r="I186" s="534"/>
      <c r="J186" s="534"/>
      <c r="K186" s="534"/>
      <c r="L186" s="534"/>
      <c r="M186" s="534"/>
      <c r="N186" s="8"/>
      <c r="O186" s="8"/>
      <c r="P186" s="8"/>
      <c r="Q186" s="8"/>
      <c r="R186" s="8"/>
      <c r="S186" s="8"/>
      <c r="T186" s="8"/>
      <c r="U186" s="8"/>
      <c r="Y186" s="8"/>
      <c r="Z186" s="8"/>
    </row>
    <row r="187" spans="1:26" ht="30" customHeight="1" thickBot="1" x14ac:dyDescent="0.45">
      <c r="B187" s="977" t="s">
        <v>595</v>
      </c>
      <c r="C187" s="978"/>
      <c r="D187" s="978"/>
      <c r="E187" s="979"/>
      <c r="F187" s="534"/>
      <c r="G187" s="534"/>
      <c r="H187" s="534"/>
      <c r="I187" s="534"/>
      <c r="J187" s="983" t="s">
        <v>271</v>
      </c>
      <c r="K187" s="983"/>
      <c r="L187" s="983"/>
      <c r="M187" s="534"/>
    </row>
    <row r="188" spans="1:26" ht="30" customHeight="1" x14ac:dyDescent="0.4">
      <c r="B188" s="538"/>
      <c r="C188" s="538"/>
      <c r="D188" s="538"/>
      <c r="E188" s="538"/>
      <c r="F188" s="534"/>
      <c r="G188" s="534"/>
      <c r="H188" s="534"/>
      <c r="I188" s="534"/>
      <c r="J188" s="565"/>
      <c r="K188" s="565"/>
      <c r="L188" s="565"/>
      <c r="M188" s="534"/>
    </row>
    <row r="189" spans="1:26" ht="15.6" x14ac:dyDescent="0.3">
      <c r="B189" s="113" t="s">
        <v>543</v>
      </c>
      <c r="C189" s="65"/>
      <c r="D189" s="65"/>
      <c r="E189" s="65"/>
      <c r="F189" s="959" t="s">
        <v>159</v>
      </c>
      <c r="G189" s="959"/>
      <c r="H189" s="959" t="s">
        <v>158</v>
      </c>
      <c r="I189" s="959"/>
      <c r="J189" s="959" t="s">
        <v>324</v>
      </c>
      <c r="K189" s="959"/>
      <c r="L189" s="143" t="s">
        <v>30</v>
      </c>
      <c r="M189" s="67"/>
    </row>
    <row r="190" spans="1:26" ht="13.8" thickBot="1" x14ac:dyDescent="0.3">
      <c r="B190" s="69"/>
      <c r="C190" s="65"/>
      <c r="D190" s="65"/>
      <c r="E190" s="65"/>
      <c r="F190" s="65"/>
      <c r="G190" s="65"/>
      <c r="H190" s="65"/>
      <c r="I190" s="65"/>
      <c r="J190" s="67"/>
      <c r="K190" s="67"/>
      <c r="L190" s="67"/>
      <c r="M190" s="67"/>
    </row>
    <row r="191" spans="1:26" ht="13.8" thickBot="1" x14ac:dyDescent="0.3">
      <c r="B191" s="65"/>
      <c r="C191" s="66" t="s">
        <v>544</v>
      </c>
      <c r="D191" s="67"/>
      <c r="E191" s="65"/>
      <c r="F191" s="118">
        <v>50</v>
      </c>
      <c r="G191" s="65" t="s">
        <v>327</v>
      </c>
      <c r="H191" s="95">
        <v>6</v>
      </c>
      <c r="I191" s="70" t="s">
        <v>152</v>
      </c>
      <c r="J191" s="235">
        <f>F191*H191</f>
        <v>300</v>
      </c>
      <c r="K191" s="65" t="s">
        <v>14</v>
      </c>
      <c r="L191" s="65" t="s">
        <v>500</v>
      </c>
      <c r="M191" s="67"/>
    </row>
    <row r="192" spans="1:26" ht="13.8" thickBot="1" x14ac:dyDescent="0.3">
      <c r="B192" s="65"/>
      <c r="C192" s="65" t="s">
        <v>403</v>
      </c>
      <c r="D192" s="66"/>
      <c r="E192" s="65"/>
      <c r="F192" s="118"/>
      <c r="G192" s="65" t="s">
        <v>327</v>
      </c>
      <c r="H192" s="95"/>
      <c r="I192" s="70" t="s">
        <v>152</v>
      </c>
      <c r="J192" s="235">
        <f t="shared" ref="J192:J193" si="14">F192*H192</f>
        <v>0</v>
      </c>
      <c r="K192" s="65" t="s">
        <v>14</v>
      </c>
      <c r="L192" s="67"/>
      <c r="M192" s="67"/>
    </row>
    <row r="193" spans="1:26" ht="13.8" thickBot="1" x14ac:dyDescent="0.3">
      <c r="B193" s="65"/>
      <c r="C193" s="65" t="s">
        <v>403</v>
      </c>
      <c r="D193" s="66"/>
      <c r="E193" s="65"/>
      <c r="F193" s="118"/>
      <c r="G193" s="65" t="s">
        <v>327</v>
      </c>
      <c r="H193" s="95"/>
      <c r="I193" s="70" t="s">
        <v>152</v>
      </c>
      <c r="J193" s="235">
        <f t="shared" si="14"/>
        <v>0</v>
      </c>
      <c r="K193" s="65" t="s">
        <v>14</v>
      </c>
      <c r="L193" s="67"/>
      <c r="M193" s="67"/>
    </row>
    <row r="194" spans="1:26" ht="13.8" thickBot="1" x14ac:dyDescent="0.3">
      <c r="B194" s="65"/>
      <c r="C194" s="65"/>
      <c r="D194" s="71"/>
      <c r="E194" s="65"/>
      <c r="F194" s="65"/>
      <c r="G194" s="65"/>
      <c r="H194" s="70"/>
      <c r="I194" s="70"/>
      <c r="J194" s="235"/>
      <c r="K194" s="65"/>
      <c r="L194" s="67"/>
      <c r="M194" s="67"/>
    </row>
    <row r="195" spans="1:26" ht="13.8" thickBot="1" x14ac:dyDescent="0.3">
      <c r="B195" s="65"/>
      <c r="C195" s="65" t="s">
        <v>596</v>
      </c>
      <c r="D195" s="71"/>
      <c r="E195" s="65"/>
      <c r="F195" s="118">
        <v>10</v>
      </c>
      <c r="G195" s="65" t="s">
        <v>1</v>
      </c>
      <c r="H195" s="99">
        <v>4</v>
      </c>
      <c r="I195" s="70" t="s">
        <v>6</v>
      </c>
      <c r="J195" s="235">
        <f t="shared" ref="J195" si="15">F195*H195</f>
        <v>40</v>
      </c>
      <c r="K195" s="65" t="s">
        <v>14</v>
      </c>
      <c r="L195" s="67"/>
      <c r="M195" s="67"/>
    </row>
    <row r="196" spans="1:26" ht="13.8" thickBot="1" x14ac:dyDescent="0.3">
      <c r="B196" s="65"/>
      <c r="C196" s="65" t="s">
        <v>405</v>
      </c>
      <c r="D196" s="71"/>
      <c r="E196" s="65"/>
      <c r="F196" s="118"/>
      <c r="G196" s="65" t="s">
        <v>1</v>
      </c>
      <c r="H196" s="99"/>
      <c r="I196" s="70" t="s">
        <v>6</v>
      </c>
      <c r="J196" s="235"/>
      <c r="K196" s="65" t="s">
        <v>14</v>
      </c>
      <c r="L196" s="67"/>
      <c r="M196" s="67"/>
    </row>
    <row r="197" spans="1:26" s="8" customFormat="1" x14ac:dyDescent="0.25">
      <c r="A197" s="369"/>
      <c r="B197" s="71"/>
      <c r="C197" s="71" t="s">
        <v>196</v>
      </c>
      <c r="D197" s="71"/>
      <c r="E197" s="71"/>
      <c r="F197" s="277"/>
      <c r="G197" s="71"/>
      <c r="H197" s="278"/>
      <c r="I197" s="279"/>
      <c r="J197" s="280">
        <f>SUM(J191:J196)</f>
        <v>340</v>
      </c>
      <c r="K197" s="71" t="s">
        <v>14</v>
      </c>
      <c r="L197" s="71"/>
      <c r="M197" s="71"/>
      <c r="N197"/>
      <c r="O197"/>
      <c r="P197"/>
      <c r="Q197"/>
      <c r="R197"/>
      <c r="S197"/>
      <c r="T197"/>
      <c r="U197"/>
      <c r="Y197"/>
      <c r="Z197"/>
    </row>
    <row r="198" spans="1:26" x14ac:dyDescent="0.25">
      <c r="B198" s="65"/>
      <c r="C198" s="65"/>
      <c r="D198" s="71"/>
      <c r="E198" s="65"/>
      <c r="F198" s="68"/>
      <c r="G198" s="65"/>
      <c r="H198" s="70"/>
      <c r="I198" s="70"/>
      <c r="J198" s="67"/>
      <c r="K198" s="65"/>
      <c r="L198" s="67"/>
      <c r="M198" s="67"/>
      <c r="N198" s="8"/>
      <c r="O198" s="8"/>
      <c r="P198" s="8"/>
      <c r="Q198" s="8"/>
      <c r="R198" s="8"/>
      <c r="S198" s="8"/>
      <c r="T198" s="8"/>
      <c r="U198" s="8"/>
      <c r="Y198" s="8"/>
      <c r="Z198" s="8"/>
    </row>
    <row r="199" spans="1:26" ht="37.049999999999997" customHeight="1" x14ac:dyDescent="0.25">
      <c r="B199" s="535"/>
      <c r="C199" s="535"/>
      <c r="D199" s="536"/>
      <c r="E199" s="535"/>
      <c r="F199" s="535"/>
      <c r="G199" s="535"/>
      <c r="H199" s="537"/>
      <c r="I199" s="537"/>
      <c r="J199" s="534"/>
      <c r="K199" s="534"/>
      <c r="L199" s="534"/>
      <c r="M199" s="534"/>
    </row>
    <row r="200" spans="1:26" ht="15.6" x14ac:dyDescent="0.3">
      <c r="B200" s="120" t="s">
        <v>546</v>
      </c>
      <c r="C200" s="121"/>
      <c r="D200" s="121"/>
      <c r="E200" s="121"/>
      <c r="F200" s="960" t="s">
        <v>159</v>
      </c>
      <c r="G200" s="960"/>
      <c r="H200" s="960" t="s">
        <v>158</v>
      </c>
      <c r="I200" s="960"/>
      <c r="J200" s="960" t="s">
        <v>324</v>
      </c>
      <c r="K200" s="960"/>
      <c r="L200" s="123"/>
      <c r="M200" s="123"/>
    </row>
    <row r="201" spans="1:26" ht="13.8" thickBot="1" x14ac:dyDescent="0.3">
      <c r="B201" s="121"/>
      <c r="C201" s="121"/>
      <c r="D201" s="121"/>
      <c r="E201" s="121"/>
      <c r="F201" s="121"/>
      <c r="G201" s="121"/>
      <c r="H201" s="122"/>
      <c r="I201" s="122"/>
      <c r="J201" s="123"/>
      <c r="K201" s="123"/>
      <c r="L201" s="123"/>
      <c r="M201" s="123"/>
    </row>
    <row r="202" spans="1:26" ht="13.8" thickBot="1" x14ac:dyDescent="0.3">
      <c r="B202" s="121"/>
      <c r="C202" s="121" t="s">
        <v>509</v>
      </c>
      <c r="D202" s="123"/>
      <c r="E202" s="121"/>
      <c r="F202" s="118">
        <v>100</v>
      </c>
      <c r="G202" s="121" t="s">
        <v>21</v>
      </c>
      <c r="H202" s="99">
        <v>1.53</v>
      </c>
      <c r="I202" s="122" t="s">
        <v>6</v>
      </c>
      <c r="J202" s="234">
        <f>F202*H202</f>
        <v>153</v>
      </c>
      <c r="K202" s="121" t="s">
        <v>14</v>
      </c>
      <c r="L202" s="123"/>
      <c r="M202" s="123"/>
    </row>
    <row r="203" spans="1:26" ht="13.8" thickBot="1" x14ac:dyDescent="0.3">
      <c r="B203" s="121"/>
      <c r="C203" s="121" t="s">
        <v>280</v>
      </c>
      <c r="D203" s="123"/>
      <c r="E203" s="121"/>
      <c r="F203" s="118"/>
      <c r="G203" s="121" t="s">
        <v>21</v>
      </c>
      <c r="H203" s="99"/>
      <c r="I203" s="122" t="s">
        <v>6</v>
      </c>
      <c r="J203" s="234">
        <f t="shared" ref="J203:J205" si="16">F203*H203</f>
        <v>0</v>
      </c>
      <c r="K203" s="121" t="s">
        <v>14</v>
      </c>
      <c r="L203" s="123"/>
      <c r="M203" s="123"/>
    </row>
    <row r="204" spans="1:26" ht="13.8" thickBot="1" x14ac:dyDescent="0.3">
      <c r="B204" s="121"/>
      <c r="C204" s="121" t="s">
        <v>280</v>
      </c>
      <c r="D204" s="121"/>
      <c r="E204" s="121"/>
      <c r="F204" s="96"/>
      <c r="G204" s="121" t="s">
        <v>21</v>
      </c>
      <c r="H204" s="99"/>
      <c r="I204" s="122" t="s">
        <v>6</v>
      </c>
      <c r="J204" s="234">
        <f t="shared" si="16"/>
        <v>0</v>
      </c>
      <c r="K204" s="121" t="s">
        <v>14</v>
      </c>
      <c r="L204" s="123"/>
      <c r="M204" s="123"/>
    </row>
    <row r="205" spans="1:26" ht="13.8" thickBot="1" x14ac:dyDescent="0.3">
      <c r="B205" s="121"/>
      <c r="C205" s="121" t="s">
        <v>280</v>
      </c>
      <c r="D205" s="121"/>
      <c r="E205" s="121"/>
      <c r="F205" s="96"/>
      <c r="G205" s="121" t="s">
        <v>21</v>
      </c>
      <c r="H205" s="98"/>
      <c r="I205" s="122" t="s">
        <v>6</v>
      </c>
      <c r="J205" s="234">
        <f t="shared" si="16"/>
        <v>0</v>
      </c>
      <c r="K205" s="121" t="s">
        <v>14</v>
      </c>
      <c r="L205" s="123"/>
      <c r="M205" s="123"/>
    </row>
    <row r="206" spans="1:26" s="8" customFormat="1" x14ac:dyDescent="0.25">
      <c r="A206" s="369"/>
      <c r="B206" s="270"/>
      <c r="C206" s="270" t="s">
        <v>196</v>
      </c>
      <c r="D206" s="270"/>
      <c r="E206" s="270"/>
      <c r="F206" s="274"/>
      <c r="G206" s="270"/>
      <c r="H206" s="275"/>
      <c r="I206" s="271"/>
      <c r="J206" s="276">
        <f>SUM(J202:J205)</f>
        <v>153</v>
      </c>
      <c r="K206" s="270" t="s">
        <v>14</v>
      </c>
      <c r="L206" s="270"/>
      <c r="M206" s="270"/>
      <c r="N206"/>
      <c r="O206"/>
      <c r="P206"/>
      <c r="Q206"/>
      <c r="R206"/>
      <c r="S206"/>
      <c r="T206"/>
      <c r="U206"/>
      <c r="Y206"/>
      <c r="Z206"/>
    </row>
    <row r="207" spans="1:26" x14ac:dyDescent="0.25">
      <c r="B207" s="121"/>
      <c r="C207" s="121"/>
      <c r="D207" s="121"/>
      <c r="E207" s="121"/>
      <c r="F207" s="121"/>
      <c r="G207" s="121"/>
      <c r="H207" s="122"/>
      <c r="I207" s="122"/>
      <c r="J207" s="123"/>
      <c r="K207" s="123"/>
      <c r="L207" s="123"/>
      <c r="M207" s="123"/>
      <c r="N207" s="8"/>
      <c r="O207" s="8"/>
      <c r="P207" s="8"/>
      <c r="Q207" s="8"/>
      <c r="R207" s="8"/>
      <c r="S207" s="8"/>
      <c r="T207" s="8"/>
      <c r="U207" s="8"/>
      <c r="Y207" s="8"/>
      <c r="Z207" s="8"/>
    </row>
    <row r="208" spans="1:26" ht="37.950000000000003" customHeight="1" x14ac:dyDescent="0.25">
      <c r="B208" s="534"/>
      <c r="C208" s="534"/>
      <c r="D208" s="534"/>
      <c r="E208" s="534"/>
      <c r="F208" s="534"/>
      <c r="G208" s="534"/>
      <c r="H208" s="534"/>
      <c r="I208" s="534"/>
      <c r="J208" s="534"/>
      <c r="K208" s="534"/>
      <c r="L208" s="534"/>
      <c r="M208" s="534"/>
    </row>
    <row r="209" spans="1:26" ht="15.6" x14ac:dyDescent="0.3">
      <c r="B209" s="109" t="s">
        <v>548</v>
      </c>
      <c r="C209" s="72"/>
      <c r="D209" s="72"/>
      <c r="E209" s="72"/>
      <c r="F209" s="957" t="s">
        <v>159</v>
      </c>
      <c r="G209" s="957"/>
      <c r="H209" s="958" t="s">
        <v>158</v>
      </c>
      <c r="I209" s="958"/>
      <c r="J209" s="957" t="s">
        <v>324</v>
      </c>
      <c r="K209" s="957"/>
      <c r="L209" s="79"/>
      <c r="M209" s="79"/>
    </row>
    <row r="210" spans="1:26" ht="15.6" x14ac:dyDescent="0.3">
      <c r="B210" s="109"/>
      <c r="C210" s="72"/>
      <c r="D210" s="462" t="s">
        <v>364</v>
      </c>
      <c r="E210" s="72"/>
      <c r="F210" s="478"/>
      <c r="G210" s="478"/>
      <c r="H210" s="475"/>
      <c r="I210" s="475"/>
      <c r="J210" s="478"/>
      <c r="K210" s="478"/>
      <c r="L210" s="79"/>
      <c r="M210" s="79"/>
    </row>
    <row r="211" spans="1:26" ht="13.8" thickBot="1" x14ac:dyDescent="0.3">
      <c r="B211" s="214" t="s">
        <v>357</v>
      </c>
      <c r="C211" s="72"/>
      <c r="D211" s="72"/>
      <c r="E211" s="72"/>
      <c r="F211" s="74"/>
      <c r="G211" s="74"/>
      <c r="H211" s="73"/>
      <c r="I211" s="73"/>
      <c r="J211" s="79"/>
      <c r="K211" s="79"/>
      <c r="L211" s="79"/>
      <c r="M211" s="79"/>
    </row>
    <row r="212" spans="1:26" ht="13.8" thickBot="1" x14ac:dyDescent="0.3">
      <c r="B212" s="72"/>
      <c r="C212" s="72" t="s">
        <v>326</v>
      </c>
      <c r="D212" s="79"/>
      <c r="E212" s="72"/>
      <c r="F212" s="119"/>
      <c r="G212" s="74" t="s">
        <v>20</v>
      </c>
      <c r="H212" s="99"/>
      <c r="I212" s="73" t="s">
        <v>5</v>
      </c>
      <c r="J212" s="79">
        <f>F212*H212</f>
        <v>0</v>
      </c>
      <c r="K212" s="72" t="s">
        <v>14</v>
      </c>
      <c r="L212" s="79"/>
      <c r="M212" s="79"/>
    </row>
    <row r="213" spans="1:26" ht="13.8" thickBot="1" x14ac:dyDescent="0.3">
      <c r="B213" s="72"/>
      <c r="C213" s="72" t="s">
        <v>326</v>
      </c>
      <c r="D213" s="72"/>
      <c r="E213" s="72"/>
      <c r="F213" s="119"/>
      <c r="G213" s="74" t="s">
        <v>20</v>
      </c>
      <c r="H213" s="99"/>
      <c r="I213" s="73" t="s">
        <v>5</v>
      </c>
      <c r="J213" s="79">
        <f t="shared" ref="J213:J219" si="17">F213*H213</f>
        <v>0</v>
      </c>
      <c r="K213" s="72" t="s">
        <v>14</v>
      </c>
      <c r="L213" s="79"/>
      <c r="M213" s="79"/>
    </row>
    <row r="214" spans="1:26" ht="13.8" thickBot="1" x14ac:dyDescent="0.3">
      <c r="B214" s="72"/>
      <c r="C214" s="72" t="s">
        <v>326</v>
      </c>
      <c r="D214" s="72"/>
      <c r="E214" s="72"/>
      <c r="F214" s="119"/>
      <c r="G214" s="74" t="s">
        <v>20</v>
      </c>
      <c r="H214" s="99"/>
      <c r="I214" s="73" t="s">
        <v>5</v>
      </c>
      <c r="J214" s="79">
        <f t="shared" si="17"/>
        <v>0</v>
      </c>
      <c r="K214" s="72" t="s">
        <v>14</v>
      </c>
      <c r="L214" s="79"/>
      <c r="M214" s="79"/>
    </row>
    <row r="215" spans="1:26" x14ac:dyDescent="0.25">
      <c r="B215" s="72"/>
      <c r="C215" s="72"/>
      <c r="D215" s="72"/>
      <c r="E215" s="72"/>
      <c r="F215" s="212"/>
      <c r="G215" s="74"/>
      <c r="H215" s="213"/>
      <c r="I215" s="73"/>
      <c r="J215" s="79"/>
      <c r="K215" s="72"/>
      <c r="L215" s="79"/>
      <c r="M215" s="79"/>
    </row>
    <row r="216" spans="1:26" ht="13.8" thickBot="1" x14ac:dyDescent="0.3">
      <c r="B216" s="214" t="s">
        <v>358</v>
      </c>
      <c r="C216" s="72"/>
      <c r="D216" s="72"/>
      <c r="E216" s="72"/>
      <c r="F216" s="212"/>
      <c r="G216" s="74"/>
      <c r="H216" s="213"/>
      <c r="I216" s="73"/>
      <c r="J216" s="79"/>
      <c r="K216" s="72"/>
      <c r="L216" s="79"/>
      <c r="M216" s="79"/>
    </row>
    <row r="217" spans="1:26" ht="13.8" thickBot="1" x14ac:dyDescent="0.3">
      <c r="B217" s="72"/>
      <c r="C217" s="72" t="s">
        <v>326</v>
      </c>
      <c r="D217" s="72"/>
      <c r="E217" s="72"/>
      <c r="F217" s="119"/>
      <c r="G217" s="74"/>
      <c r="H217" s="119"/>
      <c r="I217" s="73"/>
      <c r="J217" s="79">
        <f t="shared" si="17"/>
        <v>0</v>
      </c>
      <c r="K217" s="72" t="s">
        <v>14</v>
      </c>
      <c r="L217" s="79"/>
      <c r="M217" s="79"/>
    </row>
    <row r="218" spans="1:26" ht="13.8" thickBot="1" x14ac:dyDescent="0.3">
      <c r="B218" s="72"/>
      <c r="C218" s="72" t="s">
        <v>326</v>
      </c>
      <c r="D218" s="72"/>
      <c r="E218" s="72"/>
      <c r="F218" s="119"/>
      <c r="G218" s="74"/>
      <c r="H218" s="119"/>
      <c r="I218" s="73"/>
      <c r="J218" s="79">
        <f t="shared" si="17"/>
        <v>0</v>
      </c>
      <c r="K218" s="72" t="s">
        <v>14</v>
      </c>
      <c r="L218" s="79"/>
      <c r="M218" s="79"/>
    </row>
    <row r="219" spans="1:26" ht="13.8" thickBot="1" x14ac:dyDescent="0.3">
      <c r="B219" s="72"/>
      <c r="C219" s="72" t="s">
        <v>326</v>
      </c>
      <c r="D219" s="72"/>
      <c r="E219" s="72"/>
      <c r="F219" s="119"/>
      <c r="G219" s="74"/>
      <c r="H219" s="119"/>
      <c r="I219" s="73"/>
      <c r="J219" s="79">
        <f t="shared" si="17"/>
        <v>0</v>
      </c>
      <c r="K219" s="72" t="s">
        <v>14</v>
      </c>
      <c r="L219" s="79"/>
      <c r="M219" s="79"/>
    </row>
    <row r="220" spans="1:26" s="8" customFormat="1" x14ac:dyDescent="0.25">
      <c r="A220" s="369"/>
      <c r="B220" s="241"/>
      <c r="C220" s="241" t="s">
        <v>196</v>
      </c>
      <c r="D220" s="241"/>
      <c r="E220" s="241"/>
      <c r="F220" s="273"/>
      <c r="G220" s="242"/>
      <c r="H220" s="273"/>
      <c r="I220" s="243"/>
      <c r="J220" s="241">
        <f>SUM(J212:J219)</f>
        <v>0</v>
      </c>
      <c r="K220" s="241" t="s">
        <v>14</v>
      </c>
      <c r="L220" s="241"/>
      <c r="M220" s="241"/>
      <c r="N220"/>
      <c r="O220"/>
      <c r="P220"/>
      <c r="Q220"/>
      <c r="R220"/>
      <c r="S220"/>
      <c r="T220"/>
      <c r="U220"/>
      <c r="Y220"/>
      <c r="Z220"/>
    </row>
    <row r="221" spans="1:26" x14ac:dyDescent="0.25">
      <c r="B221" s="72"/>
      <c r="C221" s="72"/>
      <c r="D221" s="72"/>
      <c r="E221" s="72"/>
      <c r="F221" s="74"/>
      <c r="G221" s="74"/>
      <c r="H221" s="73"/>
      <c r="I221" s="73"/>
      <c r="J221" s="79"/>
      <c r="K221" s="72"/>
      <c r="L221" s="79"/>
      <c r="M221" s="79"/>
      <c r="N221" s="8"/>
      <c r="O221" s="8"/>
      <c r="P221" s="8"/>
      <c r="Q221" s="8"/>
      <c r="R221" s="8"/>
      <c r="S221" s="8"/>
      <c r="T221" s="8"/>
      <c r="U221" s="8"/>
      <c r="Y221" s="8"/>
      <c r="Z221" s="8"/>
    </row>
    <row r="222" spans="1:26" ht="42" customHeight="1" x14ac:dyDescent="0.25">
      <c r="B222" s="534"/>
      <c r="C222" s="534"/>
      <c r="D222" s="534"/>
      <c r="E222" s="534"/>
      <c r="F222" s="534"/>
      <c r="G222" s="534"/>
      <c r="H222" s="534"/>
      <c r="I222" s="534"/>
      <c r="J222" s="534"/>
      <c r="K222" s="534"/>
      <c r="L222" s="534"/>
      <c r="M222" s="534"/>
    </row>
    <row r="223" spans="1:26" s="5" customFormat="1" ht="30" customHeight="1" x14ac:dyDescent="0.3">
      <c r="A223" s="129"/>
      <c r="B223" s="639" t="s">
        <v>567</v>
      </c>
      <c r="C223" s="640"/>
      <c r="D223" s="640"/>
      <c r="E223" s="640"/>
      <c r="F223" s="975" t="s">
        <v>159</v>
      </c>
      <c r="G223" s="975"/>
      <c r="H223" s="975" t="s">
        <v>158</v>
      </c>
      <c r="I223" s="975"/>
      <c r="J223" s="975" t="s">
        <v>324</v>
      </c>
      <c r="K223" s="975"/>
      <c r="L223" s="129"/>
      <c r="M223" s="129"/>
      <c r="N223"/>
      <c r="O223"/>
      <c r="P223"/>
      <c r="Q223"/>
      <c r="R223"/>
      <c r="S223"/>
      <c r="T223"/>
      <c r="U223"/>
      <c r="Y223"/>
      <c r="Z223"/>
    </row>
    <row r="224" spans="1:26" s="5" customFormat="1" ht="13.8" thickBot="1" x14ac:dyDescent="0.3">
      <c r="A224" s="129"/>
      <c r="B224" s="640"/>
      <c r="C224" s="640"/>
      <c r="D224" s="640"/>
      <c r="E224" s="640"/>
      <c r="F224" s="640"/>
      <c r="G224" s="640"/>
      <c r="H224" s="641"/>
      <c r="I224" s="641"/>
      <c r="J224" s="129"/>
      <c r="K224" s="129"/>
      <c r="L224" s="129"/>
      <c r="M224" s="129"/>
    </row>
    <row r="225" spans="1:26" s="5" customFormat="1" ht="13.8" thickBot="1" x14ac:dyDescent="0.3">
      <c r="A225" s="129"/>
      <c r="B225" s="640"/>
      <c r="C225" s="640" t="s">
        <v>438</v>
      </c>
      <c r="D225" s="129"/>
      <c r="E225" s="640"/>
      <c r="F225" s="642">
        <v>5</v>
      </c>
      <c r="G225" s="640" t="s">
        <v>88</v>
      </c>
      <c r="H225" s="643">
        <v>160</v>
      </c>
      <c r="I225" s="641" t="s">
        <v>89</v>
      </c>
      <c r="J225" s="644">
        <f t="shared" ref="J225:J227" si="18">F225*H225</f>
        <v>800</v>
      </c>
      <c r="K225" s="640" t="s">
        <v>14</v>
      </c>
      <c r="L225" s="129"/>
      <c r="M225" s="129"/>
    </row>
    <row r="226" spans="1:26" s="5" customFormat="1" ht="13.8" thickBot="1" x14ac:dyDescent="0.3">
      <c r="A226" s="129"/>
      <c r="B226" s="640"/>
      <c r="C226" s="640" t="s">
        <v>510</v>
      </c>
      <c r="D226" s="640"/>
      <c r="E226" s="640"/>
      <c r="F226" s="642"/>
      <c r="G226" s="640" t="s">
        <v>0</v>
      </c>
      <c r="H226" s="643"/>
      <c r="I226" s="641" t="s">
        <v>14</v>
      </c>
      <c r="J226" s="644">
        <f t="shared" si="18"/>
        <v>0</v>
      </c>
      <c r="K226" s="640" t="s">
        <v>14</v>
      </c>
      <c r="L226" s="129"/>
      <c r="M226" s="129"/>
    </row>
    <row r="227" spans="1:26" s="5" customFormat="1" ht="13.8" thickBot="1" x14ac:dyDescent="0.3">
      <c r="A227" s="129"/>
      <c r="B227" s="640"/>
      <c r="C227" s="640" t="s">
        <v>510</v>
      </c>
      <c r="D227" s="640"/>
      <c r="E227" s="640"/>
      <c r="F227" s="642"/>
      <c r="G227" s="640" t="s">
        <v>0</v>
      </c>
      <c r="H227" s="643"/>
      <c r="I227" s="641" t="s">
        <v>14</v>
      </c>
      <c r="J227" s="644">
        <f t="shared" si="18"/>
        <v>0</v>
      </c>
      <c r="K227" s="640" t="s">
        <v>14</v>
      </c>
      <c r="L227" s="129"/>
      <c r="M227" s="129"/>
    </row>
    <row r="228" spans="1:26" s="5" customFormat="1" x14ac:dyDescent="0.25">
      <c r="A228" s="129"/>
      <c r="B228" s="369"/>
      <c r="C228" s="369" t="s">
        <v>196</v>
      </c>
      <c r="D228" s="369"/>
      <c r="E228" s="369"/>
      <c r="F228" s="645"/>
      <c r="G228" s="369"/>
      <c r="H228" s="646"/>
      <c r="I228" s="647"/>
      <c r="J228" s="648">
        <f>SUM(J225:J227)</f>
        <v>800</v>
      </c>
      <c r="K228" s="369" t="s">
        <v>14</v>
      </c>
      <c r="L228" s="369"/>
      <c r="M228" s="369"/>
    </row>
    <row r="229" spans="1:26" s="5" customFormat="1" x14ac:dyDescent="0.25">
      <c r="A229" s="129"/>
      <c r="B229" s="640"/>
      <c r="C229" s="640"/>
      <c r="D229" s="640"/>
      <c r="E229" s="640"/>
      <c r="F229" s="640"/>
      <c r="G229" s="640"/>
      <c r="H229" s="641"/>
      <c r="I229" s="641"/>
      <c r="J229" s="644"/>
      <c r="K229" s="640"/>
      <c r="L229" s="129"/>
      <c r="M229" s="129"/>
    </row>
    <row r="230" spans="1:26" s="5" customFormat="1" ht="30" customHeight="1" x14ac:dyDescent="0.25">
      <c r="A230" s="129"/>
      <c r="B230" s="535"/>
      <c r="C230" s="535"/>
      <c r="D230" s="535"/>
      <c r="E230" s="535"/>
      <c r="F230" s="539"/>
      <c r="G230" s="539"/>
      <c r="H230" s="537"/>
      <c r="I230" s="537"/>
      <c r="J230" s="534"/>
      <c r="K230" s="535"/>
      <c r="L230" s="534"/>
      <c r="M230" s="534"/>
    </row>
    <row r="231" spans="1:26" ht="40.950000000000003" customHeight="1" x14ac:dyDescent="0.3">
      <c r="A231" s="374"/>
      <c r="B231" s="110" t="s">
        <v>98</v>
      </c>
      <c r="C231" s="82"/>
      <c r="D231" s="82"/>
      <c r="E231" s="82"/>
      <c r="F231" s="965" t="s">
        <v>159</v>
      </c>
      <c r="G231" s="965"/>
      <c r="H231" s="965" t="s">
        <v>158</v>
      </c>
      <c r="I231" s="965"/>
      <c r="J231" s="965" t="s">
        <v>324</v>
      </c>
      <c r="K231" s="965"/>
      <c r="L231" s="84"/>
      <c r="M231" s="84"/>
      <c r="N231" s="5"/>
      <c r="O231" s="5"/>
      <c r="P231" s="5"/>
      <c r="Q231" s="5"/>
      <c r="R231" s="5"/>
      <c r="S231" s="5"/>
      <c r="T231" s="5"/>
      <c r="U231" s="5"/>
      <c r="Y231" s="5"/>
      <c r="Z231" s="5"/>
    </row>
    <row r="232" spans="1:26" ht="13.8" thickBot="1" x14ac:dyDescent="0.3">
      <c r="A232" s="374"/>
      <c r="B232" s="82"/>
      <c r="C232" s="82"/>
      <c r="D232" s="82"/>
      <c r="E232" s="82"/>
      <c r="F232" s="82"/>
      <c r="G232" s="82"/>
      <c r="H232" s="83"/>
      <c r="I232" s="83"/>
      <c r="J232" s="84"/>
      <c r="K232" s="84"/>
      <c r="L232" s="84"/>
      <c r="M232" s="84"/>
      <c r="N232" s="5"/>
    </row>
    <row r="233" spans="1:26" ht="13.8" thickBot="1" x14ac:dyDescent="0.3">
      <c r="A233" s="374"/>
      <c r="B233" s="82"/>
      <c r="C233" s="82" t="s">
        <v>597</v>
      </c>
      <c r="D233" s="82"/>
      <c r="E233" s="82"/>
      <c r="F233" s="463">
        <f>IF(S10&gt;0,S10*'Gårdens info'!$G$28/1,0)</f>
        <v>6833.333333333333</v>
      </c>
      <c r="G233" s="82" t="s">
        <v>153</v>
      </c>
      <c r="H233" s="99"/>
      <c r="I233" s="83" t="s">
        <v>152</v>
      </c>
      <c r="J233" s="85">
        <f>F233*H233</f>
        <v>0</v>
      </c>
      <c r="K233" s="82" t="s">
        <v>14</v>
      </c>
      <c r="L233" s="84"/>
      <c r="M233" s="84"/>
      <c r="N233" s="5"/>
    </row>
    <row r="234" spans="1:26" ht="13.8" thickBot="1" x14ac:dyDescent="0.3">
      <c r="A234" s="374"/>
      <c r="B234" s="82"/>
      <c r="C234" s="82" t="s">
        <v>443</v>
      </c>
      <c r="D234" s="84"/>
      <c r="E234" s="82"/>
      <c r="F234" s="463">
        <f>IF(S11&gt;0,S11*'Gårdens info'!$G$28/5,0)</f>
        <v>0</v>
      </c>
      <c r="G234" s="82" t="s">
        <v>153</v>
      </c>
      <c r="H234" s="99">
        <v>0.1</v>
      </c>
      <c r="I234" s="83" t="s">
        <v>152</v>
      </c>
      <c r="J234" s="85">
        <f>F234*H234</f>
        <v>0</v>
      </c>
      <c r="K234" s="82" t="s">
        <v>14</v>
      </c>
      <c r="L234" s="84"/>
      <c r="M234" s="84"/>
      <c r="N234" s="5"/>
    </row>
    <row r="235" spans="1:26" ht="13.8" thickBot="1" x14ac:dyDescent="0.3">
      <c r="A235" s="374"/>
      <c r="B235" s="82"/>
      <c r="C235" s="82" t="s">
        <v>598</v>
      </c>
      <c r="D235" s="84"/>
      <c r="E235" s="82"/>
      <c r="F235" s="463">
        <f>IF(S12&gt;0,S12*'Gårdens info'!$G$28/5,0)</f>
        <v>0</v>
      </c>
      <c r="G235" s="82" t="s">
        <v>153</v>
      </c>
      <c r="H235" s="99">
        <v>0.1</v>
      </c>
      <c r="I235" s="83" t="s">
        <v>152</v>
      </c>
      <c r="J235" s="85">
        <f t="shared" ref="J235:J240" si="19">F235*H235</f>
        <v>0</v>
      </c>
      <c r="K235" s="82" t="s">
        <v>14</v>
      </c>
      <c r="L235" s="84"/>
      <c r="M235" s="84"/>
      <c r="N235" s="5"/>
    </row>
    <row r="236" spans="1:26" ht="13.8" thickBot="1" x14ac:dyDescent="0.3">
      <c r="A236" s="374"/>
      <c r="B236" s="82"/>
      <c r="C236" s="82" t="s">
        <v>599</v>
      </c>
      <c r="D236" s="84"/>
      <c r="E236" s="82"/>
      <c r="F236" s="463">
        <f>IF(S13&gt;0,S13*'Gårdens info'!$G$28/10,0)</f>
        <v>0</v>
      </c>
      <c r="G236" s="82" t="s">
        <v>153</v>
      </c>
      <c r="H236" s="99">
        <v>0.1</v>
      </c>
      <c r="I236" s="83" t="s">
        <v>152</v>
      </c>
      <c r="J236" s="85">
        <f t="shared" si="19"/>
        <v>0</v>
      </c>
      <c r="K236" s="82" t="s">
        <v>14</v>
      </c>
      <c r="L236" s="84"/>
      <c r="M236" s="84"/>
      <c r="N236" s="5"/>
    </row>
    <row r="237" spans="1:26" ht="13.8" thickBot="1" x14ac:dyDescent="0.3">
      <c r="A237" s="374"/>
      <c r="B237" s="82"/>
      <c r="C237" s="82" t="s">
        <v>288</v>
      </c>
      <c r="D237" s="84"/>
      <c r="E237" s="82"/>
      <c r="F237" s="463">
        <f>IF(S14&gt;0,S14*'Gårdens info'!$G$28/0.5,0)</f>
        <v>13666.666666666666</v>
      </c>
      <c r="G237" s="82" t="s">
        <v>153</v>
      </c>
      <c r="H237" s="99">
        <v>0.04</v>
      </c>
      <c r="I237" s="83" t="s">
        <v>152</v>
      </c>
      <c r="J237" s="85">
        <f t="shared" si="19"/>
        <v>546.66666666666663</v>
      </c>
      <c r="K237" s="82" t="s">
        <v>14</v>
      </c>
      <c r="L237" s="84"/>
      <c r="M237" s="84"/>
      <c r="N237" s="5"/>
    </row>
    <row r="238" spans="1:26" ht="13.8" thickBot="1" x14ac:dyDescent="0.3">
      <c r="A238" s="374"/>
      <c r="B238" s="82"/>
      <c r="C238" s="96" t="s">
        <v>290</v>
      </c>
      <c r="D238" s="96"/>
      <c r="E238" s="82" t="s">
        <v>21</v>
      </c>
      <c r="F238" s="463">
        <f>IF(S15&gt;0,S15*'Gårdens info'!$G$28/D238,0)</f>
        <v>0</v>
      </c>
      <c r="G238" s="82" t="s">
        <v>153</v>
      </c>
      <c r="H238" s="99"/>
      <c r="I238" s="83" t="s">
        <v>152</v>
      </c>
      <c r="J238" s="85">
        <f t="shared" si="19"/>
        <v>0</v>
      </c>
      <c r="K238" s="82" t="s">
        <v>14</v>
      </c>
      <c r="L238" s="84"/>
      <c r="M238" s="84"/>
    </row>
    <row r="239" spans="1:26" ht="13.8" thickBot="1" x14ac:dyDescent="0.3">
      <c r="A239" s="374"/>
      <c r="B239" s="82"/>
      <c r="C239" s="96" t="s">
        <v>290</v>
      </c>
      <c r="D239" s="96"/>
      <c r="E239" s="82" t="s">
        <v>21</v>
      </c>
      <c r="F239" s="463">
        <f>IF(S16&gt;0,S16*'Gårdens info'!$G$28/D239,0)</f>
        <v>0</v>
      </c>
      <c r="G239" s="82" t="s">
        <v>153</v>
      </c>
      <c r="H239" s="99"/>
      <c r="I239" s="83" t="s">
        <v>152</v>
      </c>
      <c r="J239" s="85">
        <f t="shared" si="19"/>
        <v>0</v>
      </c>
      <c r="K239" s="82" t="s">
        <v>14</v>
      </c>
      <c r="L239" s="84"/>
      <c r="M239" s="84"/>
    </row>
    <row r="240" spans="1:26" ht="13.8" thickBot="1" x14ac:dyDescent="0.3">
      <c r="B240" s="82"/>
      <c r="C240" s="96" t="s">
        <v>290</v>
      </c>
      <c r="D240" s="96"/>
      <c r="E240" s="82" t="s">
        <v>21</v>
      </c>
      <c r="F240" s="463">
        <f>IF(S17&gt;0,S17*'Gårdens info'!$G$28/D240,0)</f>
        <v>0</v>
      </c>
      <c r="G240" s="82" t="s">
        <v>153</v>
      </c>
      <c r="H240" s="99"/>
      <c r="I240" s="83" t="s">
        <v>152</v>
      </c>
      <c r="J240" s="85">
        <f t="shared" si="19"/>
        <v>0</v>
      </c>
      <c r="K240" s="82" t="s">
        <v>14</v>
      </c>
      <c r="L240" s="84"/>
      <c r="M240" s="84"/>
    </row>
    <row r="241" spans="1:26" x14ac:dyDescent="0.25">
      <c r="B241" s="245"/>
      <c r="C241" s="245" t="s">
        <v>196</v>
      </c>
      <c r="D241" s="245"/>
      <c r="E241" s="245"/>
      <c r="F241" s="246"/>
      <c r="G241" s="245"/>
      <c r="H241" s="247"/>
      <c r="I241" s="248"/>
      <c r="J241" s="249">
        <f>SUM(J234:J240)</f>
        <v>546.66666666666663</v>
      </c>
      <c r="K241" s="245" t="s">
        <v>14</v>
      </c>
      <c r="L241" s="245"/>
      <c r="M241" s="245"/>
    </row>
    <row r="242" spans="1:26" s="8" customFormat="1" x14ac:dyDescent="0.25">
      <c r="A242" s="369"/>
      <c r="B242" s="82"/>
      <c r="C242" s="82"/>
      <c r="D242" s="82"/>
      <c r="E242" s="82"/>
      <c r="F242" s="82"/>
      <c r="G242" s="82"/>
      <c r="H242" s="83"/>
      <c r="I242" s="83"/>
      <c r="J242" s="85"/>
      <c r="K242" s="82"/>
      <c r="L242" s="84"/>
      <c r="M242" s="84"/>
      <c r="N242"/>
      <c r="O242"/>
      <c r="P242"/>
      <c r="Q242"/>
      <c r="R242"/>
      <c r="S242"/>
      <c r="T242"/>
      <c r="U242"/>
      <c r="Y242"/>
      <c r="Z242"/>
    </row>
    <row r="243" spans="1:26" x14ac:dyDescent="0.25">
      <c r="B243" s="534"/>
      <c r="C243" s="534"/>
      <c r="D243" s="534"/>
      <c r="E243" s="534"/>
      <c r="F243" s="534"/>
      <c r="G243" s="534"/>
      <c r="H243" s="534"/>
      <c r="I243" s="534"/>
      <c r="J243" s="534"/>
      <c r="K243" s="534"/>
      <c r="L243" s="534"/>
      <c r="M243" s="534"/>
      <c r="N243" s="8"/>
      <c r="O243" s="8"/>
      <c r="P243" s="8"/>
      <c r="Q243" s="8"/>
      <c r="R243" s="8"/>
      <c r="S243" s="8"/>
      <c r="T243" s="8"/>
      <c r="U243" s="8"/>
      <c r="Y243" s="8"/>
      <c r="Z243" s="8"/>
    </row>
    <row r="244" spans="1:26" s="5" customFormat="1" ht="30" customHeight="1" x14ac:dyDescent="0.25">
      <c r="A244" s="129"/>
      <c r="B244" s="535"/>
      <c r="C244" s="535"/>
      <c r="D244" s="535"/>
      <c r="E244" s="535"/>
      <c r="F244" s="539"/>
      <c r="G244" s="539"/>
      <c r="H244" s="537"/>
      <c r="I244" s="537"/>
      <c r="J244" s="534"/>
      <c r="K244" s="535"/>
      <c r="L244" s="534"/>
      <c r="M244" s="534"/>
    </row>
    <row r="245" spans="1:26" ht="30" customHeight="1" x14ac:dyDescent="0.3">
      <c r="B245" s="111" t="s">
        <v>568</v>
      </c>
      <c r="C245" s="87"/>
      <c r="D245" s="87"/>
      <c r="E245" s="87"/>
      <c r="F245" s="966" t="s">
        <v>159</v>
      </c>
      <c r="G245" s="966"/>
      <c r="H245" s="966" t="s">
        <v>158</v>
      </c>
      <c r="I245" s="966"/>
      <c r="J245" s="966" t="s">
        <v>324</v>
      </c>
      <c r="K245" s="966"/>
      <c r="L245" s="89"/>
      <c r="M245" s="89"/>
    </row>
    <row r="246" spans="1:26" ht="13.8" thickBot="1" x14ac:dyDescent="0.3">
      <c r="B246" s="87"/>
      <c r="C246" s="87"/>
      <c r="D246" s="87"/>
      <c r="E246" s="87"/>
      <c r="F246" s="87"/>
      <c r="G246" s="87"/>
      <c r="H246" s="88"/>
      <c r="I246" s="88"/>
      <c r="J246" s="89"/>
      <c r="K246" s="89"/>
      <c r="L246" s="89"/>
      <c r="M246" s="89"/>
    </row>
    <row r="247" spans="1:26" ht="13.8" thickBot="1" x14ac:dyDescent="0.3">
      <c r="B247" s="87"/>
      <c r="C247" s="87" t="s">
        <v>483</v>
      </c>
      <c r="D247" s="89"/>
      <c r="E247" s="87"/>
      <c r="F247" s="96">
        <f>'Gårdens info'!D28*'Gårdens info'!G28</f>
        <v>41000</v>
      </c>
      <c r="G247" s="87" t="s">
        <v>21</v>
      </c>
      <c r="H247" s="99">
        <v>0.05</v>
      </c>
      <c r="I247" s="88" t="s">
        <v>6</v>
      </c>
      <c r="J247" s="90">
        <f t="shared" ref="J247:J249" si="20">F247*H247</f>
        <v>2050</v>
      </c>
      <c r="K247" s="87" t="s">
        <v>14</v>
      </c>
      <c r="L247" s="89"/>
      <c r="M247" s="89"/>
    </row>
    <row r="248" spans="1:26" ht="13.8" thickBot="1" x14ac:dyDescent="0.3">
      <c r="B248" s="87"/>
      <c r="C248" s="87" t="s">
        <v>510</v>
      </c>
      <c r="D248" s="87"/>
      <c r="E248" s="87"/>
      <c r="F248" s="96"/>
      <c r="G248" s="87" t="s">
        <v>21</v>
      </c>
      <c r="H248" s="99"/>
      <c r="I248" s="88" t="s">
        <v>6</v>
      </c>
      <c r="J248" s="90">
        <f t="shared" si="20"/>
        <v>0</v>
      </c>
      <c r="K248" s="87" t="s">
        <v>14</v>
      </c>
      <c r="L248" s="89"/>
      <c r="M248" s="89"/>
    </row>
    <row r="249" spans="1:26" ht="13.8" thickBot="1" x14ac:dyDescent="0.3">
      <c r="B249" s="87"/>
      <c r="C249" s="87" t="s">
        <v>510</v>
      </c>
      <c r="D249" s="87"/>
      <c r="E249" s="87"/>
      <c r="F249" s="96"/>
      <c r="G249" s="87" t="s">
        <v>21</v>
      </c>
      <c r="H249" s="99"/>
      <c r="I249" s="88" t="s">
        <v>6</v>
      </c>
      <c r="J249" s="90">
        <f t="shared" si="20"/>
        <v>0</v>
      </c>
      <c r="K249" s="87" t="s">
        <v>14</v>
      </c>
      <c r="L249" s="89"/>
      <c r="M249" s="89"/>
    </row>
    <row r="250" spans="1:26" x14ac:dyDescent="0.25">
      <c r="B250" s="250"/>
      <c r="C250" s="250" t="s">
        <v>196</v>
      </c>
      <c r="D250" s="250"/>
      <c r="E250" s="250"/>
      <c r="F250" s="251"/>
      <c r="G250" s="250"/>
      <c r="H250" s="252"/>
      <c r="I250" s="253"/>
      <c r="J250" s="254">
        <f>SUM(J247:J249)</f>
        <v>2050</v>
      </c>
      <c r="K250" s="250" t="s">
        <v>14</v>
      </c>
      <c r="L250" s="250"/>
      <c r="M250" s="250"/>
    </row>
    <row r="251" spans="1:26" s="8" customFormat="1" x14ac:dyDescent="0.25">
      <c r="A251" s="369"/>
      <c r="B251" s="87"/>
      <c r="C251" s="87"/>
      <c r="D251" s="87"/>
      <c r="E251" s="87"/>
      <c r="F251" s="87"/>
      <c r="G251" s="87"/>
      <c r="H251" s="88"/>
      <c r="I251" s="88"/>
      <c r="J251" s="90"/>
      <c r="K251" s="87"/>
      <c r="L251" s="89"/>
      <c r="M251" s="89"/>
      <c r="N251"/>
      <c r="O251"/>
      <c r="P251"/>
      <c r="Q251"/>
      <c r="R251"/>
      <c r="S251"/>
      <c r="T251"/>
      <c r="U251"/>
      <c r="Y251"/>
      <c r="Z251"/>
    </row>
    <row r="252" spans="1:26" x14ac:dyDescent="0.25">
      <c r="B252" s="534"/>
      <c r="C252" s="534"/>
      <c r="D252" s="534"/>
      <c r="E252" s="534"/>
      <c r="F252" s="534"/>
      <c r="G252" s="534"/>
      <c r="H252" s="534"/>
      <c r="I252" s="534"/>
      <c r="J252" s="534"/>
      <c r="K252" s="534"/>
      <c r="L252" s="534"/>
      <c r="M252" s="534"/>
      <c r="N252" s="8"/>
      <c r="O252" s="8"/>
      <c r="P252" s="8"/>
      <c r="Q252" s="8"/>
      <c r="R252" s="8"/>
      <c r="S252" s="8"/>
      <c r="T252" s="8"/>
      <c r="U252" s="8"/>
      <c r="Y252" s="8"/>
      <c r="Z252" s="8"/>
    </row>
    <row r="253" spans="1:26" s="5" customFormat="1" ht="30" customHeight="1" x14ac:dyDescent="0.25">
      <c r="A253" s="129"/>
      <c r="B253" s="535"/>
      <c r="C253" s="535"/>
      <c r="D253" s="535"/>
      <c r="E253" s="535"/>
      <c r="F253" s="539"/>
      <c r="G253" s="539"/>
      <c r="H253" s="537"/>
      <c r="I253" s="537"/>
      <c r="J253" s="534"/>
      <c r="K253" s="535"/>
      <c r="L253" s="534"/>
      <c r="M253" s="534"/>
    </row>
    <row r="254" spans="1:26" ht="15.6" x14ac:dyDescent="0.3">
      <c r="B254" s="219" t="s">
        <v>549</v>
      </c>
      <c r="C254" s="220"/>
      <c r="D254" s="220"/>
      <c r="E254" s="220"/>
      <c r="F254" s="964" t="s">
        <v>159</v>
      </c>
      <c r="G254" s="964"/>
      <c r="H254" s="964" t="s">
        <v>158</v>
      </c>
      <c r="I254" s="964"/>
      <c r="J254" s="964" t="s">
        <v>324</v>
      </c>
      <c r="K254" s="964"/>
      <c r="L254" s="222"/>
      <c r="M254" s="222"/>
    </row>
    <row r="255" spans="1:26" ht="13.8" thickBot="1" x14ac:dyDescent="0.3">
      <c r="B255" s="220"/>
      <c r="C255" s="220"/>
      <c r="D255" s="220"/>
      <c r="E255" s="220"/>
      <c r="F255" s="220"/>
      <c r="G255" s="220"/>
      <c r="H255" s="221"/>
      <c r="I255" s="221"/>
      <c r="J255" s="222"/>
      <c r="K255" s="222"/>
      <c r="L255" s="222"/>
      <c r="M255" s="222"/>
    </row>
    <row r="256" spans="1:26" ht="13.8" thickBot="1" x14ac:dyDescent="0.3">
      <c r="B256" s="220"/>
      <c r="C256" s="220" t="s">
        <v>294</v>
      </c>
      <c r="D256" s="222"/>
      <c r="E256" s="220"/>
      <c r="F256" s="96"/>
      <c r="G256" s="220" t="s">
        <v>0</v>
      </c>
      <c r="H256" s="99"/>
      <c r="I256" s="221" t="s">
        <v>14</v>
      </c>
      <c r="J256" s="223">
        <f t="shared" ref="J256:J258" si="21">F256*H256</f>
        <v>0</v>
      </c>
      <c r="K256" s="220" t="s">
        <v>14</v>
      </c>
      <c r="L256" s="222"/>
      <c r="M256" s="222"/>
    </row>
    <row r="257" spans="1:26" ht="13.8" thickBot="1" x14ac:dyDescent="0.3">
      <c r="B257" s="220"/>
      <c r="C257" s="220" t="s">
        <v>294</v>
      </c>
      <c r="D257" s="220"/>
      <c r="E257" s="220"/>
      <c r="F257" s="96"/>
      <c r="G257" s="220" t="s">
        <v>0</v>
      </c>
      <c r="H257" s="99"/>
      <c r="I257" s="221" t="s">
        <v>14</v>
      </c>
      <c r="J257" s="223">
        <f t="shared" si="21"/>
        <v>0</v>
      </c>
      <c r="K257" s="220" t="s">
        <v>14</v>
      </c>
      <c r="L257" s="222"/>
      <c r="M257" s="222"/>
    </row>
    <row r="258" spans="1:26" ht="13.8" thickBot="1" x14ac:dyDescent="0.3">
      <c r="B258" s="220"/>
      <c r="C258" s="220" t="s">
        <v>294</v>
      </c>
      <c r="D258" s="220"/>
      <c r="E258" s="220"/>
      <c r="F258" s="96"/>
      <c r="G258" s="220" t="s">
        <v>0</v>
      </c>
      <c r="H258" s="99"/>
      <c r="I258" s="221" t="s">
        <v>14</v>
      </c>
      <c r="J258" s="223">
        <f t="shared" si="21"/>
        <v>0</v>
      </c>
      <c r="K258" s="220" t="s">
        <v>14</v>
      </c>
      <c r="L258" s="222"/>
      <c r="M258" s="222"/>
    </row>
    <row r="259" spans="1:26" s="8" customFormat="1" x14ac:dyDescent="0.25">
      <c r="A259" s="369"/>
      <c r="B259" s="255"/>
      <c r="C259" s="255" t="s">
        <v>196</v>
      </c>
      <c r="D259" s="255"/>
      <c r="E259" s="255"/>
      <c r="F259" s="256"/>
      <c r="G259" s="255"/>
      <c r="H259" s="257"/>
      <c r="I259" s="258"/>
      <c r="J259" s="259">
        <f>SUM(J256:J258)</f>
        <v>0</v>
      </c>
      <c r="K259" s="255" t="s">
        <v>14</v>
      </c>
      <c r="L259" s="255"/>
      <c r="M259" s="255"/>
      <c r="N259"/>
      <c r="O259"/>
      <c r="P259"/>
      <c r="Q259"/>
      <c r="R259"/>
      <c r="S259"/>
      <c r="T259"/>
      <c r="U259"/>
      <c r="Y259"/>
      <c r="Z259"/>
    </row>
    <row r="260" spans="1:26" x14ac:dyDescent="0.25">
      <c r="B260" s="220"/>
      <c r="C260" s="220"/>
      <c r="D260" s="220"/>
      <c r="E260" s="220"/>
      <c r="F260" s="220"/>
      <c r="G260" s="220"/>
      <c r="H260" s="221"/>
      <c r="I260" s="221"/>
      <c r="J260" s="223"/>
      <c r="K260" s="220"/>
      <c r="L260" s="222"/>
      <c r="M260" s="222"/>
      <c r="N260" s="8"/>
      <c r="O260" s="8"/>
      <c r="P260" s="8"/>
      <c r="Q260" s="8"/>
      <c r="R260" s="8"/>
      <c r="S260" s="8"/>
      <c r="T260" s="8"/>
      <c r="U260" s="8"/>
      <c r="Y260" s="8"/>
      <c r="Z260" s="8"/>
    </row>
    <row r="261" spans="1:26" ht="33" customHeight="1" x14ac:dyDescent="0.25">
      <c r="B261" s="534"/>
      <c r="C261" s="534"/>
      <c r="D261" s="534"/>
      <c r="E261" s="534"/>
      <c r="F261" s="534"/>
      <c r="G261" s="534"/>
      <c r="H261" s="534"/>
      <c r="I261" s="534"/>
      <c r="J261" s="534"/>
      <c r="K261" s="534"/>
      <c r="L261" s="534"/>
      <c r="M261" s="534"/>
    </row>
    <row r="262" spans="1:26" ht="15.6" x14ac:dyDescent="0.3">
      <c r="B262" s="225" t="s">
        <v>550</v>
      </c>
      <c r="C262" s="226"/>
      <c r="D262" s="226"/>
      <c r="E262" s="227"/>
      <c r="F262" s="226" t="s">
        <v>159</v>
      </c>
      <c r="G262" s="228"/>
      <c r="H262" s="228" t="s">
        <v>158</v>
      </c>
      <c r="I262" s="226"/>
      <c r="J262" s="226" t="s">
        <v>324</v>
      </c>
      <c r="K262" s="229"/>
      <c r="L262" s="229"/>
      <c r="M262" s="229"/>
    </row>
    <row r="263" spans="1:26" ht="16.2" thickBot="1" x14ac:dyDescent="0.35">
      <c r="B263" s="225"/>
      <c r="C263" s="226"/>
      <c r="D263" s="226"/>
      <c r="E263" s="227"/>
      <c r="F263" s="226"/>
      <c r="G263" s="228"/>
      <c r="H263" s="228"/>
      <c r="I263" s="226"/>
      <c r="J263" s="226"/>
      <c r="K263" s="229"/>
      <c r="L263" s="229"/>
      <c r="M263" s="229"/>
    </row>
    <row r="264" spans="1:26" ht="13.8" thickBot="1" x14ac:dyDescent="0.3">
      <c r="B264" s="226"/>
      <c r="C264" s="226" t="s">
        <v>296</v>
      </c>
      <c r="D264" s="229"/>
      <c r="E264" s="230"/>
      <c r="F264" s="96"/>
      <c r="G264" s="231" t="s">
        <v>18</v>
      </c>
      <c r="H264" s="96"/>
      <c r="I264" s="232" t="s">
        <v>10</v>
      </c>
      <c r="J264" s="229">
        <f>H264*F264</f>
        <v>0</v>
      </c>
      <c r="K264" s="232" t="s">
        <v>14</v>
      </c>
      <c r="L264" s="229"/>
      <c r="M264" s="229"/>
    </row>
    <row r="265" spans="1:26" ht="13.8" thickBot="1" x14ac:dyDescent="0.3">
      <c r="B265" s="226"/>
      <c r="C265" s="226" t="s">
        <v>464</v>
      </c>
      <c r="D265" s="232">
        <f>F296/2</f>
        <v>43.5</v>
      </c>
      <c r="E265" s="226" t="s">
        <v>9</v>
      </c>
      <c r="F265" s="96">
        <f>+D265*8</f>
        <v>348</v>
      </c>
      <c r="G265" s="228" t="s">
        <v>20</v>
      </c>
      <c r="H265" s="96">
        <v>0.83</v>
      </c>
      <c r="I265" s="232" t="s">
        <v>5</v>
      </c>
      <c r="J265" s="229">
        <f>H265*F265</f>
        <v>288.83999999999997</v>
      </c>
      <c r="K265" s="232" t="s">
        <v>14</v>
      </c>
      <c r="L265" s="229"/>
      <c r="M265" s="229"/>
    </row>
    <row r="266" spans="1:26" ht="13.8" thickBot="1" x14ac:dyDescent="0.3">
      <c r="B266" s="226"/>
      <c r="C266" s="226" t="s">
        <v>298</v>
      </c>
      <c r="D266" s="232">
        <f>D265</f>
        <v>43.5</v>
      </c>
      <c r="E266" s="226" t="s">
        <v>9</v>
      </c>
      <c r="F266" s="96">
        <v>11.88</v>
      </c>
      <c r="G266" s="228" t="s">
        <v>21</v>
      </c>
      <c r="H266" s="96">
        <v>4</v>
      </c>
      <c r="I266" s="232" t="s">
        <v>6</v>
      </c>
      <c r="J266" s="229">
        <f t="shared" ref="J266:J270" si="22">H266*F266</f>
        <v>47.52</v>
      </c>
      <c r="K266" s="232" t="s">
        <v>14</v>
      </c>
      <c r="L266" s="229"/>
      <c r="M266" s="229"/>
    </row>
    <row r="267" spans="1:26" ht="13.8" thickBot="1" x14ac:dyDescent="0.3">
      <c r="B267" s="226"/>
      <c r="C267" s="226" t="s">
        <v>19</v>
      </c>
      <c r="D267" s="229"/>
      <c r="E267" s="232"/>
      <c r="F267" s="96">
        <v>200</v>
      </c>
      <c r="G267" s="228" t="s">
        <v>20</v>
      </c>
      <c r="H267" s="96">
        <v>1.53</v>
      </c>
      <c r="I267" s="232" t="s">
        <v>5</v>
      </c>
      <c r="J267" s="229">
        <f t="shared" si="22"/>
        <v>306</v>
      </c>
      <c r="K267" s="232" t="s">
        <v>14</v>
      </c>
      <c r="L267" s="229"/>
      <c r="M267" s="229"/>
    </row>
    <row r="268" spans="1:26" ht="13.8" thickBot="1" x14ac:dyDescent="0.3">
      <c r="B268" s="226"/>
      <c r="C268" s="226" t="s">
        <v>299</v>
      </c>
      <c r="D268" s="229"/>
      <c r="E268" s="232"/>
      <c r="F268" s="96">
        <v>1.48</v>
      </c>
      <c r="G268" s="228" t="s">
        <v>20</v>
      </c>
      <c r="H268" s="96">
        <v>1.6</v>
      </c>
      <c r="I268" s="232" t="s">
        <v>5</v>
      </c>
      <c r="J268" s="229">
        <f t="shared" si="22"/>
        <v>2.3679999999999999</v>
      </c>
      <c r="K268" s="232" t="s">
        <v>14</v>
      </c>
      <c r="L268" s="229"/>
      <c r="M268" s="229"/>
    </row>
    <row r="269" spans="1:26" ht="13.8" thickBot="1" x14ac:dyDescent="0.3">
      <c r="B269" s="226"/>
      <c r="C269" s="226" t="s">
        <v>300</v>
      </c>
      <c r="D269" s="229"/>
      <c r="E269" s="232"/>
      <c r="F269" s="96"/>
      <c r="G269" s="228"/>
      <c r="H269" s="96"/>
      <c r="I269" s="232"/>
      <c r="J269" s="229">
        <f t="shared" si="22"/>
        <v>0</v>
      </c>
      <c r="K269" s="232" t="s">
        <v>14</v>
      </c>
      <c r="L269" s="229"/>
      <c r="M269" s="229"/>
    </row>
    <row r="270" spans="1:26" ht="13.8" thickBot="1" x14ac:dyDescent="0.3">
      <c r="B270" s="229"/>
      <c r="C270" s="226" t="s">
        <v>300</v>
      </c>
      <c r="D270" s="229"/>
      <c r="E270" s="229"/>
      <c r="F270" s="96"/>
      <c r="G270" s="229"/>
      <c r="H270" s="96"/>
      <c r="I270" s="229"/>
      <c r="J270" s="229">
        <f t="shared" si="22"/>
        <v>0</v>
      </c>
      <c r="K270" s="232" t="s">
        <v>14</v>
      </c>
      <c r="L270" s="229"/>
      <c r="M270" s="229"/>
    </row>
    <row r="271" spans="1:26" s="8" customFormat="1" x14ac:dyDescent="0.25">
      <c r="A271" s="369"/>
      <c r="B271" s="260"/>
      <c r="C271" s="260" t="s">
        <v>196</v>
      </c>
      <c r="D271" s="260"/>
      <c r="E271" s="260"/>
      <c r="F271" s="261"/>
      <c r="G271" s="260"/>
      <c r="H271" s="261"/>
      <c r="I271" s="260"/>
      <c r="J271" s="260">
        <f>SUM(J264:J270)</f>
        <v>644.72799999999995</v>
      </c>
      <c r="K271" s="262" t="s">
        <v>14</v>
      </c>
      <c r="L271" s="260"/>
      <c r="M271" s="260"/>
      <c r="N271"/>
      <c r="O271"/>
      <c r="P271"/>
      <c r="Q271"/>
      <c r="R271"/>
      <c r="S271"/>
      <c r="T271"/>
      <c r="U271"/>
      <c r="Y271"/>
      <c r="Z271"/>
    </row>
    <row r="272" spans="1:26" x14ac:dyDescent="0.25">
      <c r="B272" s="229"/>
      <c r="C272" s="229"/>
      <c r="D272" s="229"/>
      <c r="E272" s="229"/>
      <c r="F272" s="229"/>
      <c r="G272" s="229"/>
      <c r="H272" s="229"/>
      <c r="I272" s="229"/>
      <c r="J272" s="229"/>
      <c r="K272" s="229"/>
      <c r="L272" s="229"/>
      <c r="M272" s="229"/>
      <c r="N272" s="8"/>
      <c r="O272" s="8"/>
      <c r="P272" s="8"/>
      <c r="Q272" s="8"/>
      <c r="R272" s="8"/>
      <c r="S272" s="8"/>
      <c r="T272" s="8"/>
      <c r="U272" s="8"/>
      <c r="Y272" s="8"/>
      <c r="Z272" s="8"/>
    </row>
    <row r="273" spans="2:13" ht="37.950000000000003" customHeight="1" x14ac:dyDescent="0.25">
      <c r="B273" s="534"/>
      <c r="C273" s="534"/>
      <c r="D273" s="534"/>
      <c r="E273" s="534"/>
      <c r="F273" s="534"/>
      <c r="G273" s="534"/>
      <c r="H273" s="534"/>
      <c r="I273" s="534"/>
      <c r="J273" s="534"/>
      <c r="K273" s="534"/>
      <c r="L273" s="534"/>
      <c r="M273" s="534"/>
    </row>
    <row r="274" spans="2:13" ht="22.05" customHeight="1" x14ac:dyDescent="0.3">
      <c r="B274" s="112" t="s">
        <v>551</v>
      </c>
      <c r="C274" s="104"/>
      <c r="D274" s="101"/>
      <c r="E274" s="101"/>
      <c r="F274" s="101"/>
      <c r="G274" s="101"/>
      <c r="H274" s="101"/>
      <c r="I274" s="101"/>
      <c r="J274" s="101"/>
      <c r="K274" s="101"/>
      <c r="L274" s="101"/>
      <c r="M274" s="101"/>
    </row>
    <row r="275" spans="2:13" ht="12" customHeight="1" x14ac:dyDescent="0.3">
      <c r="B275" s="112"/>
      <c r="C275" s="101"/>
      <c r="D275" s="101"/>
      <c r="E275" s="101"/>
      <c r="F275" s="101"/>
      <c r="G275" s="101"/>
      <c r="H275" s="101"/>
      <c r="I275" s="101"/>
      <c r="J275" s="101"/>
      <c r="K275" s="101"/>
      <c r="L275" s="101"/>
      <c r="M275" s="101"/>
    </row>
    <row r="276" spans="2:13" ht="40.049999999999997" customHeight="1" x14ac:dyDescent="0.25">
      <c r="B276" s="961" t="s">
        <v>302</v>
      </c>
      <c r="C276" s="961"/>
      <c r="D276" s="961"/>
      <c r="E276" s="961"/>
      <c r="F276" s="961"/>
      <c r="G276" s="961"/>
      <c r="H276" s="961"/>
      <c r="I276" s="961"/>
      <c r="J276" s="961"/>
      <c r="K276" s="961"/>
      <c r="L276" s="961"/>
      <c r="M276" s="961"/>
    </row>
    <row r="277" spans="2:13" ht="22.05" customHeight="1" x14ac:dyDescent="0.3">
      <c r="B277" s="112"/>
      <c r="C277" s="101"/>
      <c r="D277" s="101"/>
      <c r="E277" s="834"/>
      <c r="F277" s="834"/>
      <c r="G277" s="834"/>
      <c r="H277" s="835"/>
      <c r="I277" s="835"/>
      <c r="J277" s="834"/>
      <c r="K277" s="834"/>
      <c r="L277" s="835"/>
      <c r="M277" s="835"/>
    </row>
    <row r="278" spans="2:13" ht="22.05" customHeight="1" x14ac:dyDescent="0.3">
      <c r="B278" s="112"/>
      <c r="C278" s="101"/>
      <c r="D278" s="101"/>
      <c r="E278" s="962" t="s">
        <v>303</v>
      </c>
      <c r="F278" s="962"/>
      <c r="G278" s="962"/>
      <c r="H278" s="963" t="s">
        <v>158</v>
      </c>
      <c r="I278" s="963"/>
      <c r="J278" s="963" t="s">
        <v>304</v>
      </c>
      <c r="K278" s="963"/>
      <c r="L278" s="963" t="s">
        <v>158</v>
      </c>
      <c r="M278" s="963"/>
    </row>
    <row r="279" spans="2:13" ht="10.95" customHeight="1" thickBot="1" x14ac:dyDescent="0.3">
      <c r="B279" s="100"/>
      <c r="C279" s="101"/>
      <c r="D279" s="101"/>
      <c r="E279" s="101"/>
      <c r="F279" s="101"/>
      <c r="G279" s="101"/>
      <c r="H279" s="101"/>
      <c r="I279" s="101"/>
      <c r="J279" s="101"/>
      <c r="K279" s="101"/>
      <c r="L279" s="101"/>
      <c r="M279" s="101"/>
    </row>
    <row r="280" spans="2:13" ht="13.8" thickBot="1" x14ac:dyDescent="0.3">
      <c r="B280" s="101"/>
      <c r="C280" s="102" t="s">
        <v>323</v>
      </c>
      <c r="D280" s="101"/>
      <c r="E280" s="101"/>
      <c r="F280" s="115">
        <v>2</v>
      </c>
      <c r="G280" s="104" t="s">
        <v>22</v>
      </c>
      <c r="H280" s="114">
        <f t="shared" ref="H280:H295" si="23">$H$168</f>
        <v>14.5</v>
      </c>
      <c r="I280" s="104" t="s">
        <v>11</v>
      </c>
      <c r="J280" s="116"/>
      <c r="K280" s="104" t="s">
        <v>22</v>
      </c>
      <c r="L280" s="114">
        <f t="shared" ref="L280:L295" si="24">$L$168</f>
        <v>14.5</v>
      </c>
      <c r="M280" s="104" t="s">
        <v>11</v>
      </c>
    </row>
    <row r="281" spans="2:13" ht="13.8" thickBot="1" x14ac:dyDescent="0.3">
      <c r="B281" s="101"/>
      <c r="C281" s="102" t="s">
        <v>552</v>
      </c>
      <c r="D281" s="101"/>
      <c r="E281" s="101"/>
      <c r="F281" s="115">
        <v>5</v>
      </c>
      <c r="G281" s="104" t="s">
        <v>22</v>
      </c>
      <c r="H281" s="114">
        <f t="shared" si="23"/>
        <v>14.5</v>
      </c>
      <c r="I281" s="104" t="s">
        <v>11</v>
      </c>
      <c r="J281" s="116"/>
      <c r="K281" s="104" t="s">
        <v>22</v>
      </c>
      <c r="L281" s="114">
        <f t="shared" si="24"/>
        <v>14.5</v>
      </c>
      <c r="M281" s="104" t="s">
        <v>11</v>
      </c>
    </row>
    <row r="282" spans="2:13" ht="13.8" thickBot="1" x14ac:dyDescent="0.3">
      <c r="B282" s="101"/>
      <c r="C282" s="102" t="s">
        <v>600</v>
      </c>
      <c r="D282" s="101"/>
      <c r="E282" s="101"/>
      <c r="F282" s="115">
        <v>1</v>
      </c>
      <c r="G282" s="104" t="s">
        <v>22</v>
      </c>
      <c r="H282" s="114">
        <f t="shared" si="23"/>
        <v>14.5</v>
      </c>
      <c r="I282" s="104" t="s">
        <v>11</v>
      </c>
      <c r="J282" s="116"/>
      <c r="K282" s="104" t="s">
        <v>22</v>
      </c>
      <c r="L282" s="114">
        <f t="shared" si="24"/>
        <v>14.5</v>
      </c>
      <c r="M282" s="104" t="s">
        <v>11</v>
      </c>
    </row>
    <row r="283" spans="2:13" ht="13.8" thickBot="1" x14ac:dyDescent="0.3">
      <c r="B283" s="101"/>
      <c r="C283" s="102" t="s">
        <v>516</v>
      </c>
      <c r="D283" s="101"/>
      <c r="E283" s="101"/>
      <c r="F283" s="115">
        <v>27</v>
      </c>
      <c r="G283" s="104" t="s">
        <v>22</v>
      </c>
      <c r="H283" s="114">
        <f t="shared" si="23"/>
        <v>14.5</v>
      </c>
      <c r="I283" s="104" t="s">
        <v>11</v>
      </c>
      <c r="J283" s="116"/>
      <c r="K283" s="104" t="s">
        <v>22</v>
      </c>
      <c r="L283" s="114">
        <f t="shared" si="24"/>
        <v>14.5</v>
      </c>
      <c r="M283" s="104" t="s">
        <v>11</v>
      </c>
    </row>
    <row r="284" spans="2:13" ht="13.8" thickBot="1" x14ac:dyDescent="0.3">
      <c r="B284" s="101"/>
      <c r="C284" s="102" t="s">
        <v>601</v>
      </c>
      <c r="D284" s="101"/>
      <c r="E284" s="101"/>
      <c r="F284" s="115">
        <v>8</v>
      </c>
      <c r="G284" s="104" t="s">
        <v>22</v>
      </c>
      <c r="H284" s="114">
        <f t="shared" si="23"/>
        <v>14.5</v>
      </c>
      <c r="I284" s="104" t="s">
        <v>11</v>
      </c>
      <c r="J284" s="116"/>
      <c r="K284" s="104" t="s">
        <v>22</v>
      </c>
      <c r="L284" s="114">
        <f t="shared" si="24"/>
        <v>14.5</v>
      </c>
      <c r="M284" s="104" t="s">
        <v>11</v>
      </c>
    </row>
    <row r="285" spans="2:13" ht="13.8" thickBot="1" x14ac:dyDescent="0.3">
      <c r="B285" s="101"/>
      <c r="C285" s="102" t="s">
        <v>427</v>
      </c>
      <c r="D285" s="101"/>
      <c r="E285" s="101"/>
      <c r="F285" s="115">
        <v>10</v>
      </c>
      <c r="G285" s="104" t="s">
        <v>22</v>
      </c>
      <c r="H285" s="114">
        <f t="shared" si="23"/>
        <v>14.5</v>
      </c>
      <c r="I285" s="104" t="s">
        <v>11</v>
      </c>
      <c r="J285" s="116">
        <v>10</v>
      </c>
      <c r="K285" s="104" t="s">
        <v>22</v>
      </c>
      <c r="L285" s="114">
        <f t="shared" si="24"/>
        <v>14.5</v>
      </c>
      <c r="M285" s="104" t="s">
        <v>11</v>
      </c>
    </row>
    <row r="286" spans="2:13" ht="13.8" thickBot="1" x14ac:dyDescent="0.3">
      <c r="B286" s="101"/>
      <c r="C286" s="102" t="s">
        <v>317</v>
      </c>
      <c r="D286" s="101"/>
      <c r="E286" s="101"/>
      <c r="F286" s="115">
        <v>3</v>
      </c>
      <c r="G286" s="104" t="s">
        <v>22</v>
      </c>
      <c r="H286" s="114">
        <f t="shared" si="23"/>
        <v>14.5</v>
      </c>
      <c r="I286" s="104" t="s">
        <v>11</v>
      </c>
      <c r="J286" s="116"/>
      <c r="K286" s="104" t="s">
        <v>22</v>
      </c>
      <c r="L286" s="114">
        <f t="shared" si="24"/>
        <v>14.5</v>
      </c>
      <c r="M286" s="104" t="s">
        <v>11</v>
      </c>
    </row>
    <row r="287" spans="2:13" ht="13.8" thickBot="1" x14ac:dyDescent="0.3">
      <c r="B287" s="101"/>
      <c r="C287" s="102" t="s">
        <v>602</v>
      </c>
      <c r="D287" s="101"/>
      <c r="E287" s="101"/>
      <c r="F287" s="115">
        <v>5</v>
      </c>
      <c r="G287" s="104" t="s">
        <v>22</v>
      </c>
      <c r="H287" s="114">
        <f t="shared" si="23"/>
        <v>14.5</v>
      </c>
      <c r="I287" s="104" t="s">
        <v>11</v>
      </c>
      <c r="J287" s="116"/>
      <c r="K287" s="104" t="s">
        <v>22</v>
      </c>
      <c r="L287" s="114">
        <f t="shared" si="24"/>
        <v>14.5</v>
      </c>
      <c r="M287" s="104" t="s">
        <v>11</v>
      </c>
    </row>
    <row r="288" spans="2:13" ht="13.8" thickBot="1" x14ac:dyDescent="0.3">
      <c r="B288" s="101"/>
      <c r="C288" s="102" t="s">
        <v>429</v>
      </c>
      <c r="D288" s="101"/>
      <c r="E288" s="101"/>
      <c r="F288" s="116">
        <v>10</v>
      </c>
      <c r="G288" s="104" t="s">
        <v>22</v>
      </c>
      <c r="H288" s="114">
        <f t="shared" si="23"/>
        <v>14.5</v>
      </c>
      <c r="I288" s="104" t="s">
        <v>11</v>
      </c>
      <c r="J288" s="116"/>
      <c r="K288" s="104" t="s">
        <v>22</v>
      </c>
      <c r="L288" s="114">
        <f t="shared" si="24"/>
        <v>14.5</v>
      </c>
      <c r="M288" s="104" t="s">
        <v>11</v>
      </c>
    </row>
    <row r="289" spans="1:26" ht="13.8" thickBot="1" x14ac:dyDescent="0.3">
      <c r="B289" s="101"/>
      <c r="C289" s="102" t="s">
        <v>132</v>
      </c>
      <c r="D289" s="101"/>
      <c r="E289" s="101"/>
      <c r="F289" s="115"/>
      <c r="G289" s="104" t="s">
        <v>21</v>
      </c>
      <c r="H289" s="115"/>
      <c r="I289" s="104" t="s">
        <v>6</v>
      </c>
      <c r="J289" s="115"/>
      <c r="K289" s="104" t="s">
        <v>21</v>
      </c>
      <c r="L289" s="115">
        <v>0.5</v>
      </c>
      <c r="M289" s="104" t="s">
        <v>6</v>
      </c>
    </row>
    <row r="290" spans="1:26" ht="13.8" thickBot="1" x14ac:dyDescent="0.3">
      <c r="B290" s="101"/>
      <c r="C290" s="102" t="s">
        <v>132</v>
      </c>
      <c r="D290" s="101"/>
      <c r="E290" s="101"/>
      <c r="F290" s="115">
        <v>10</v>
      </c>
      <c r="G290" s="104" t="s">
        <v>22</v>
      </c>
      <c r="H290" s="114">
        <f t="shared" ref="H290:H292" si="25">$H$168</f>
        <v>14.5</v>
      </c>
      <c r="I290" s="104" t="s">
        <v>11</v>
      </c>
      <c r="J290" s="116"/>
      <c r="K290" s="104" t="s">
        <v>22</v>
      </c>
      <c r="L290" s="114">
        <f t="shared" ref="L290:L292" si="26">$L$168</f>
        <v>14.5</v>
      </c>
      <c r="M290" s="104" t="s">
        <v>11</v>
      </c>
    </row>
    <row r="291" spans="1:26" ht="13.8" thickBot="1" x14ac:dyDescent="0.3">
      <c r="B291" s="101"/>
      <c r="C291" s="102" t="s">
        <v>454</v>
      </c>
      <c r="D291" s="101"/>
      <c r="E291" s="101"/>
      <c r="F291" s="115">
        <v>5</v>
      </c>
      <c r="G291" s="104" t="s">
        <v>22</v>
      </c>
      <c r="H291" s="114">
        <f t="shared" si="25"/>
        <v>14.5</v>
      </c>
      <c r="I291" s="104" t="s">
        <v>11</v>
      </c>
      <c r="J291" s="116"/>
      <c r="K291" s="104" t="s">
        <v>22</v>
      </c>
      <c r="L291" s="114">
        <f t="shared" si="26"/>
        <v>14.5</v>
      </c>
      <c r="M291" s="104" t="s">
        <v>11</v>
      </c>
    </row>
    <row r="292" spans="1:26" ht="13.8" thickBot="1" x14ac:dyDescent="0.3">
      <c r="B292" s="101"/>
      <c r="C292" s="102" t="s">
        <v>603</v>
      </c>
      <c r="D292" s="101"/>
      <c r="E292" s="101"/>
      <c r="F292" s="115">
        <v>1</v>
      </c>
      <c r="G292" s="104" t="s">
        <v>22</v>
      </c>
      <c r="H292" s="114">
        <f t="shared" si="25"/>
        <v>14.5</v>
      </c>
      <c r="I292" s="104" t="s">
        <v>11</v>
      </c>
      <c r="J292" s="116"/>
      <c r="K292" s="104" t="s">
        <v>22</v>
      </c>
      <c r="L292" s="114">
        <f t="shared" si="26"/>
        <v>14.5</v>
      </c>
      <c r="M292" s="104" t="s">
        <v>11</v>
      </c>
    </row>
    <row r="293" spans="1:26" ht="13.8" thickBot="1" x14ac:dyDescent="0.3">
      <c r="B293" s="101"/>
      <c r="C293" s="102" t="s">
        <v>431</v>
      </c>
      <c r="D293" s="101"/>
      <c r="E293" s="101"/>
      <c r="F293" s="116"/>
      <c r="G293" s="104" t="s">
        <v>22</v>
      </c>
      <c r="H293" s="114">
        <f t="shared" si="23"/>
        <v>14.5</v>
      </c>
      <c r="I293" s="104" t="s">
        <v>11</v>
      </c>
      <c r="J293" s="97"/>
      <c r="K293" s="104" t="s">
        <v>22</v>
      </c>
      <c r="L293" s="114">
        <f t="shared" si="24"/>
        <v>14.5</v>
      </c>
      <c r="M293" s="104" t="s">
        <v>11</v>
      </c>
    </row>
    <row r="294" spans="1:26" ht="13.8" thickBot="1" x14ac:dyDescent="0.3">
      <c r="B294" s="101"/>
      <c r="C294" s="102" t="s">
        <v>431</v>
      </c>
      <c r="D294" s="101"/>
      <c r="E294" s="101"/>
      <c r="F294" s="116"/>
      <c r="G294" s="104" t="s">
        <v>22</v>
      </c>
      <c r="H294" s="114">
        <f t="shared" si="23"/>
        <v>14.5</v>
      </c>
      <c r="I294" s="104" t="s">
        <v>11</v>
      </c>
      <c r="J294" s="97"/>
      <c r="K294" s="104" t="s">
        <v>22</v>
      </c>
      <c r="L294" s="114">
        <f t="shared" si="24"/>
        <v>14.5</v>
      </c>
      <c r="M294" s="104" t="s">
        <v>11</v>
      </c>
    </row>
    <row r="295" spans="1:26" ht="13.8" thickBot="1" x14ac:dyDescent="0.3">
      <c r="B295" s="101"/>
      <c r="C295" s="102" t="s">
        <v>431</v>
      </c>
      <c r="D295" s="103"/>
      <c r="E295" s="103"/>
      <c r="F295" s="97"/>
      <c r="G295" s="104" t="s">
        <v>22</v>
      </c>
      <c r="H295" s="114">
        <f t="shared" si="23"/>
        <v>14.5</v>
      </c>
      <c r="I295" s="104" t="s">
        <v>11</v>
      </c>
      <c r="J295" s="97"/>
      <c r="K295" s="104" t="s">
        <v>22</v>
      </c>
      <c r="L295" s="114">
        <f t="shared" si="24"/>
        <v>14.5</v>
      </c>
      <c r="M295" s="104" t="s">
        <v>11</v>
      </c>
    </row>
    <row r="296" spans="1:26" s="8" customFormat="1" x14ac:dyDescent="0.25">
      <c r="A296" s="369"/>
      <c r="B296" s="264"/>
      <c r="C296" s="265" t="s">
        <v>196</v>
      </c>
      <c r="D296" s="266"/>
      <c r="E296" s="266"/>
      <c r="F296" s="267">
        <f>SUM(F280:F288)+SUM(F290:F295)</f>
        <v>87</v>
      </c>
      <c r="G296" s="264" t="s">
        <v>22</v>
      </c>
      <c r="H296" s="268">
        <f>F296*H168+F289*H289</f>
        <v>1261.5</v>
      </c>
      <c r="I296" s="264" t="s">
        <v>14</v>
      </c>
      <c r="J296" s="269">
        <f>SUM(J280:J288)+SUM(J290:J295)</f>
        <v>10</v>
      </c>
      <c r="K296" s="264" t="s">
        <v>22</v>
      </c>
      <c r="L296" s="268">
        <f>J296*L168+J289*L289</f>
        <v>145</v>
      </c>
      <c r="M296" s="264" t="s">
        <v>14</v>
      </c>
      <c r="N296"/>
      <c r="O296"/>
      <c r="P296"/>
      <c r="Q296"/>
      <c r="R296"/>
      <c r="S296"/>
      <c r="T296"/>
      <c r="U296"/>
      <c r="Y296"/>
      <c r="Z296"/>
    </row>
    <row r="297" spans="1:26" s="8" customFormat="1" ht="70.95" customHeight="1" thickBot="1" x14ac:dyDescent="0.3">
      <c r="A297" s="369"/>
      <c r="B297" s="536"/>
      <c r="C297" s="540"/>
      <c r="D297" s="541"/>
      <c r="E297" s="541"/>
      <c r="F297" s="542"/>
      <c r="G297" s="536"/>
      <c r="H297" s="543"/>
      <c r="I297" s="536"/>
      <c r="J297" s="544"/>
      <c r="K297" s="536"/>
      <c r="L297" s="543"/>
      <c r="M297" s="536"/>
    </row>
    <row r="298" spans="1:26" ht="21" customHeight="1" thickBot="1" x14ac:dyDescent="0.45">
      <c r="B298" s="953" t="s">
        <v>270</v>
      </c>
      <c r="C298" s="954"/>
      <c r="D298" s="954"/>
      <c r="E298" s="955"/>
      <c r="F298" s="534"/>
      <c r="G298" s="534"/>
      <c r="H298" s="534"/>
      <c r="I298" s="534"/>
      <c r="J298" s="983" t="s">
        <v>271</v>
      </c>
      <c r="K298" s="983"/>
      <c r="L298" s="983"/>
      <c r="M298" s="534"/>
      <c r="N298" s="566"/>
      <c r="O298" s="8"/>
      <c r="P298" s="8"/>
      <c r="Q298" s="8"/>
      <c r="R298" s="8"/>
      <c r="S298" s="8"/>
      <c r="T298" s="8"/>
      <c r="U298" s="8"/>
      <c r="Y298" s="8"/>
      <c r="Z298" s="8"/>
    </row>
    <row r="299" spans="1:26" x14ac:dyDescent="0.25">
      <c r="B299" s="534"/>
      <c r="C299" s="534"/>
      <c r="D299" s="534"/>
      <c r="E299" s="534"/>
      <c r="F299" s="534"/>
      <c r="G299" s="534"/>
      <c r="H299" s="534"/>
      <c r="I299" s="534"/>
      <c r="J299" s="534"/>
      <c r="K299" s="534"/>
      <c r="L299" s="534"/>
      <c r="M299" s="534"/>
    </row>
    <row r="300" spans="1:26" ht="15.6" x14ac:dyDescent="0.3">
      <c r="B300" s="120" t="s">
        <v>508</v>
      </c>
      <c r="C300" s="121"/>
      <c r="D300" s="121"/>
      <c r="E300" s="121"/>
      <c r="F300" s="960" t="s">
        <v>159</v>
      </c>
      <c r="G300" s="960"/>
      <c r="H300" s="960" t="s">
        <v>158</v>
      </c>
      <c r="I300" s="960"/>
      <c r="J300" s="960" t="s">
        <v>324</v>
      </c>
      <c r="K300" s="960"/>
      <c r="L300" s="123"/>
      <c r="M300" s="123"/>
    </row>
    <row r="301" spans="1:26" ht="13.8" thickBot="1" x14ac:dyDescent="0.3">
      <c r="B301" s="121"/>
      <c r="C301" s="121"/>
      <c r="D301" s="121"/>
      <c r="E301" s="121"/>
      <c r="F301" s="121"/>
      <c r="G301" s="121"/>
      <c r="H301" s="122"/>
      <c r="I301" s="122"/>
      <c r="J301" s="123"/>
      <c r="K301" s="123"/>
      <c r="L301" s="123"/>
      <c r="M301" s="123"/>
    </row>
    <row r="302" spans="1:26" ht="13.8" thickBot="1" x14ac:dyDescent="0.3">
      <c r="B302" s="121"/>
      <c r="C302" s="121" t="s">
        <v>509</v>
      </c>
      <c r="D302" s="123"/>
      <c r="E302" s="121"/>
      <c r="F302" s="118">
        <v>170</v>
      </c>
      <c r="G302" s="121" t="s">
        <v>21</v>
      </c>
      <c r="H302" s="99">
        <v>1.53</v>
      </c>
      <c r="I302" s="122" t="s">
        <v>6</v>
      </c>
      <c r="J302" s="124">
        <f>F302*H302</f>
        <v>260.10000000000002</v>
      </c>
      <c r="K302" s="121" t="s">
        <v>14</v>
      </c>
      <c r="L302" s="123"/>
      <c r="M302" s="123"/>
    </row>
    <row r="303" spans="1:26" ht="13.8" thickBot="1" x14ac:dyDescent="0.3">
      <c r="B303" s="121"/>
      <c r="C303" s="121" t="s">
        <v>280</v>
      </c>
      <c r="D303" s="123"/>
      <c r="E303" s="121"/>
      <c r="F303" s="118"/>
      <c r="G303" s="121" t="s">
        <v>21</v>
      </c>
      <c r="H303" s="99"/>
      <c r="I303" s="122" t="s">
        <v>6</v>
      </c>
      <c r="J303" s="124">
        <f t="shared" ref="J303:J305" si="27">F303*H303</f>
        <v>0</v>
      </c>
      <c r="K303" s="121" t="s">
        <v>14</v>
      </c>
      <c r="L303" s="123"/>
      <c r="M303" s="123"/>
    </row>
    <row r="304" spans="1:26" ht="13.8" thickBot="1" x14ac:dyDescent="0.3">
      <c r="B304" s="121"/>
      <c r="C304" s="121" t="s">
        <v>280</v>
      </c>
      <c r="D304" s="123"/>
      <c r="E304" s="121"/>
      <c r="F304" s="96"/>
      <c r="G304" s="121" t="s">
        <v>21</v>
      </c>
      <c r="H304" s="99"/>
      <c r="I304" s="122" t="s">
        <v>6</v>
      </c>
      <c r="J304" s="124">
        <f t="shared" si="27"/>
        <v>0</v>
      </c>
      <c r="K304" s="121" t="s">
        <v>14</v>
      </c>
      <c r="L304" s="123"/>
      <c r="M304" s="123"/>
    </row>
    <row r="305" spans="1:26" ht="13.8" thickBot="1" x14ac:dyDescent="0.3">
      <c r="B305" s="121"/>
      <c r="C305" s="121" t="s">
        <v>280</v>
      </c>
      <c r="D305" s="123"/>
      <c r="E305" s="121"/>
      <c r="F305" s="96"/>
      <c r="G305" s="121" t="s">
        <v>21</v>
      </c>
      <c r="H305" s="99"/>
      <c r="I305" s="122" t="s">
        <v>6</v>
      </c>
      <c r="J305" s="124">
        <f t="shared" si="27"/>
        <v>0</v>
      </c>
      <c r="K305" s="121" t="s">
        <v>14</v>
      </c>
      <c r="L305" s="123"/>
      <c r="M305" s="123"/>
    </row>
    <row r="306" spans="1:26" s="8" customFormat="1" x14ac:dyDescent="0.25">
      <c r="A306" s="369"/>
      <c r="B306" s="270"/>
      <c r="C306" s="270" t="s">
        <v>196</v>
      </c>
      <c r="D306" s="270"/>
      <c r="E306" s="270"/>
      <c r="F306" s="270"/>
      <c r="G306" s="270"/>
      <c r="H306" s="270"/>
      <c r="I306" s="271"/>
      <c r="J306" s="272">
        <f>SUM(J302:J305)</f>
        <v>260.10000000000002</v>
      </c>
      <c r="K306" s="270" t="s">
        <v>14</v>
      </c>
      <c r="L306" s="270"/>
      <c r="M306" s="270"/>
      <c r="N306"/>
      <c r="O306"/>
      <c r="P306"/>
      <c r="Q306"/>
      <c r="R306"/>
      <c r="S306"/>
      <c r="T306"/>
      <c r="U306"/>
      <c r="Y306"/>
      <c r="Z306"/>
    </row>
    <row r="307" spans="1:26" x14ac:dyDescent="0.25">
      <c r="B307" s="121"/>
      <c r="C307" s="121"/>
      <c r="D307" s="121"/>
      <c r="E307" s="121"/>
      <c r="F307" s="121"/>
      <c r="G307" s="121"/>
      <c r="H307" s="121"/>
      <c r="I307" s="122"/>
      <c r="J307" s="124"/>
      <c r="K307" s="121"/>
      <c r="L307" s="123"/>
      <c r="M307" s="123"/>
      <c r="N307" s="8"/>
      <c r="O307" s="8"/>
      <c r="P307" s="8"/>
      <c r="Q307" s="8"/>
      <c r="R307" s="8"/>
      <c r="S307" s="8"/>
      <c r="T307" s="8"/>
      <c r="U307" s="8"/>
      <c r="Y307" s="8"/>
      <c r="Z307" s="8"/>
    </row>
    <row r="308" spans="1:26" ht="39" customHeight="1" x14ac:dyDescent="0.25"/>
    <row r="309" spans="1:26" ht="15.6" x14ac:dyDescent="0.3">
      <c r="B309" s="109" t="s">
        <v>479</v>
      </c>
      <c r="C309" s="72"/>
      <c r="D309" s="72"/>
      <c r="E309" s="72"/>
      <c r="F309" s="957" t="s">
        <v>159</v>
      </c>
      <c r="G309" s="957"/>
      <c r="H309" s="958" t="s">
        <v>158</v>
      </c>
      <c r="I309" s="958"/>
      <c r="J309" s="957" t="s">
        <v>324</v>
      </c>
      <c r="K309" s="957"/>
      <c r="L309" s="79"/>
      <c r="M309" s="79"/>
    </row>
    <row r="310" spans="1:26" ht="15.6" x14ac:dyDescent="0.3">
      <c r="B310" s="109"/>
      <c r="C310" s="72"/>
      <c r="D310" s="462" t="s">
        <v>364</v>
      </c>
      <c r="E310" s="72"/>
      <c r="F310" s="478"/>
      <c r="G310" s="478"/>
      <c r="H310" s="475"/>
      <c r="I310" s="475"/>
      <c r="J310" s="478"/>
      <c r="K310" s="478"/>
      <c r="L310" s="79"/>
      <c r="M310" s="79"/>
    </row>
    <row r="311" spans="1:26" ht="13.8" thickBot="1" x14ac:dyDescent="0.3">
      <c r="B311" s="214" t="s">
        <v>357</v>
      </c>
      <c r="C311" s="72"/>
      <c r="D311" s="72"/>
      <c r="E311" s="72"/>
      <c r="F311" s="74"/>
      <c r="G311" s="74"/>
      <c r="H311" s="73"/>
      <c r="I311" s="73"/>
      <c r="J311" s="79"/>
      <c r="K311" s="79"/>
      <c r="L311" s="79"/>
      <c r="M311" s="79"/>
    </row>
    <row r="312" spans="1:26" ht="13.8" thickBot="1" x14ac:dyDescent="0.3">
      <c r="B312" s="214"/>
      <c r="C312" s="72" t="s">
        <v>90</v>
      </c>
      <c r="D312" s="72"/>
      <c r="E312" s="72"/>
      <c r="F312" s="119">
        <v>1</v>
      </c>
      <c r="G312" s="74" t="s">
        <v>21</v>
      </c>
      <c r="H312" s="99">
        <v>140</v>
      </c>
      <c r="I312" s="73" t="s">
        <v>6</v>
      </c>
      <c r="J312" s="79">
        <f t="shared" ref="J312:J313" si="28">F312*H312</f>
        <v>140</v>
      </c>
      <c r="K312" s="72" t="s">
        <v>14</v>
      </c>
      <c r="L312" s="79"/>
      <c r="M312" s="79"/>
    </row>
    <row r="313" spans="1:26" ht="13.8" thickBot="1" x14ac:dyDescent="0.3">
      <c r="B313" s="214"/>
      <c r="C313" s="72" t="s">
        <v>72</v>
      </c>
      <c r="D313" s="72"/>
      <c r="E313" s="72"/>
      <c r="F313" s="119">
        <v>0.2</v>
      </c>
      <c r="G313" s="74" t="s">
        <v>21</v>
      </c>
      <c r="H313" s="99">
        <v>300</v>
      </c>
      <c r="I313" s="73" t="s">
        <v>6</v>
      </c>
      <c r="J313" s="79">
        <f t="shared" si="28"/>
        <v>60</v>
      </c>
      <c r="K313" s="72" t="s">
        <v>14</v>
      </c>
      <c r="L313" s="79"/>
      <c r="M313" s="79"/>
    </row>
    <row r="314" spans="1:26" ht="13.8" thickBot="1" x14ac:dyDescent="0.3">
      <c r="B314" s="214"/>
      <c r="C314" s="72" t="s">
        <v>70</v>
      </c>
      <c r="D314" s="72"/>
      <c r="E314" s="72"/>
      <c r="F314" s="119">
        <v>0.9</v>
      </c>
      <c r="G314" s="74" t="s">
        <v>20</v>
      </c>
      <c r="H314" s="99">
        <v>47</v>
      </c>
      <c r="I314" s="73" t="s">
        <v>5</v>
      </c>
      <c r="J314" s="79">
        <f t="shared" ref="J314:J315" si="29">F314*H314</f>
        <v>42.300000000000004</v>
      </c>
      <c r="K314" s="72" t="s">
        <v>14</v>
      </c>
      <c r="L314" s="79"/>
      <c r="M314" s="79"/>
    </row>
    <row r="315" spans="1:26" ht="13.8" thickBot="1" x14ac:dyDescent="0.3">
      <c r="B315" s="214"/>
      <c r="C315" s="72" t="s">
        <v>91</v>
      </c>
      <c r="D315" s="72"/>
      <c r="E315" s="72"/>
      <c r="F315" s="119">
        <v>0.1</v>
      </c>
      <c r="G315" s="74" t="s">
        <v>20</v>
      </c>
      <c r="H315" s="99">
        <v>1070</v>
      </c>
      <c r="I315" s="73" t="s">
        <v>5</v>
      </c>
      <c r="J315" s="79">
        <f t="shared" si="29"/>
        <v>107</v>
      </c>
      <c r="K315" s="72" t="s">
        <v>14</v>
      </c>
      <c r="L315" s="79"/>
      <c r="M315" s="79"/>
    </row>
    <row r="316" spans="1:26" ht="13.8" thickBot="1" x14ac:dyDescent="0.3">
      <c r="B316" s="72"/>
      <c r="C316" s="72" t="s">
        <v>326</v>
      </c>
      <c r="D316" s="79"/>
      <c r="E316" s="72"/>
      <c r="F316" s="119"/>
      <c r="G316" s="74" t="s">
        <v>20</v>
      </c>
      <c r="H316" s="99"/>
      <c r="I316" s="73" t="s">
        <v>5</v>
      </c>
      <c r="J316" s="79">
        <f>F316*H316</f>
        <v>0</v>
      </c>
      <c r="K316" s="72" t="s">
        <v>14</v>
      </c>
      <c r="L316" s="79"/>
      <c r="M316" s="79"/>
    </row>
    <row r="317" spans="1:26" ht="13.8" thickBot="1" x14ac:dyDescent="0.3">
      <c r="B317" s="72"/>
      <c r="C317" s="72" t="s">
        <v>326</v>
      </c>
      <c r="D317" s="72"/>
      <c r="E317" s="72"/>
      <c r="F317" s="119"/>
      <c r="G317" s="74" t="s">
        <v>20</v>
      </c>
      <c r="H317" s="99"/>
      <c r="I317" s="73" t="s">
        <v>5</v>
      </c>
      <c r="J317" s="79">
        <f t="shared" ref="J317:J323" si="30">F317*H317</f>
        <v>0</v>
      </c>
      <c r="K317" s="72" t="s">
        <v>14</v>
      </c>
      <c r="L317" s="79"/>
      <c r="M317" s="79"/>
    </row>
    <row r="318" spans="1:26" ht="13.8" thickBot="1" x14ac:dyDescent="0.3">
      <c r="B318" s="72"/>
      <c r="C318" s="72" t="s">
        <v>326</v>
      </c>
      <c r="D318" s="72"/>
      <c r="E318" s="72"/>
      <c r="F318" s="119"/>
      <c r="G318" s="74" t="s">
        <v>20</v>
      </c>
      <c r="H318" s="99"/>
      <c r="I318" s="73" t="s">
        <v>5</v>
      </c>
      <c r="J318" s="79">
        <f t="shared" si="30"/>
        <v>0</v>
      </c>
      <c r="K318" s="72" t="s">
        <v>14</v>
      </c>
      <c r="L318" s="79"/>
      <c r="M318" s="79"/>
    </row>
    <row r="319" spans="1:26" x14ac:dyDescent="0.25">
      <c r="B319" s="72"/>
      <c r="C319" s="72"/>
      <c r="D319" s="72"/>
      <c r="E319" s="72"/>
      <c r="F319" s="212"/>
      <c r="G319" s="74"/>
      <c r="H319" s="213"/>
      <c r="I319" s="73"/>
      <c r="J319" s="79"/>
      <c r="K319" s="72"/>
      <c r="L319" s="79"/>
      <c r="M319" s="79"/>
    </row>
    <row r="320" spans="1:26" ht="13.8" thickBot="1" x14ac:dyDescent="0.3">
      <c r="B320" s="214" t="s">
        <v>358</v>
      </c>
      <c r="C320" s="72"/>
      <c r="D320" s="72"/>
      <c r="E320" s="72"/>
      <c r="F320" s="212"/>
      <c r="G320" s="74"/>
      <c r="H320" s="213"/>
      <c r="I320" s="73"/>
      <c r="J320" s="79"/>
      <c r="K320" s="72"/>
      <c r="L320" s="79"/>
      <c r="M320" s="79"/>
    </row>
    <row r="321" spans="1:26" ht="13.8" thickBot="1" x14ac:dyDescent="0.3">
      <c r="B321" s="72"/>
      <c r="C321" s="72" t="s">
        <v>326</v>
      </c>
      <c r="D321" s="72"/>
      <c r="E321" s="72"/>
      <c r="F321" s="119"/>
      <c r="G321" s="74"/>
      <c r="H321" s="119"/>
      <c r="I321" s="73"/>
      <c r="J321" s="79">
        <f t="shared" si="30"/>
        <v>0</v>
      </c>
      <c r="K321" s="72" t="s">
        <v>14</v>
      </c>
      <c r="L321" s="79"/>
      <c r="M321" s="79"/>
    </row>
    <row r="322" spans="1:26" ht="13.8" thickBot="1" x14ac:dyDescent="0.3">
      <c r="B322" s="72"/>
      <c r="C322" s="72" t="s">
        <v>326</v>
      </c>
      <c r="D322" s="72"/>
      <c r="E322" s="72"/>
      <c r="F322" s="119"/>
      <c r="G322" s="74"/>
      <c r="H322" s="119"/>
      <c r="I322" s="73"/>
      <c r="J322" s="79">
        <f t="shared" si="30"/>
        <v>0</v>
      </c>
      <c r="K322" s="72" t="s">
        <v>14</v>
      </c>
      <c r="L322" s="79"/>
      <c r="M322" s="79"/>
    </row>
    <row r="323" spans="1:26" ht="13.8" thickBot="1" x14ac:dyDescent="0.3">
      <c r="B323" s="72"/>
      <c r="C323" s="72" t="s">
        <v>326</v>
      </c>
      <c r="D323" s="72"/>
      <c r="E323" s="72"/>
      <c r="F323" s="119"/>
      <c r="G323" s="74"/>
      <c r="H323" s="119"/>
      <c r="I323" s="73"/>
      <c r="J323" s="79">
        <f t="shared" si="30"/>
        <v>0</v>
      </c>
      <c r="K323" s="72" t="s">
        <v>14</v>
      </c>
      <c r="L323" s="79"/>
      <c r="M323" s="79"/>
    </row>
    <row r="324" spans="1:26" s="8" customFormat="1" x14ac:dyDescent="0.25">
      <c r="A324" s="369"/>
      <c r="B324" s="241"/>
      <c r="C324" s="241" t="s">
        <v>196</v>
      </c>
      <c r="D324" s="241"/>
      <c r="E324" s="241"/>
      <c r="F324" s="273"/>
      <c r="G324" s="242"/>
      <c r="H324" s="273"/>
      <c r="I324" s="243"/>
      <c r="J324" s="241">
        <f>SUM(J312:J323)</f>
        <v>349.3</v>
      </c>
      <c r="K324" s="241" t="s">
        <v>14</v>
      </c>
      <c r="L324" s="241"/>
      <c r="M324" s="241"/>
      <c r="N324"/>
      <c r="O324"/>
      <c r="P324"/>
      <c r="Q324"/>
      <c r="R324"/>
      <c r="S324"/>
      <c r="T324"/>
      <c r="U324"/>
      <c r="Y324"/>
      <c r="Z324"/>
    </row>
    <row r="325" spans="1:26" x14ac:dyDescent="0.25">
      <c r="B325" s="72"/>
      <c r="C325" s="72"/>
      <c r="D325" s="72"/>
      <c r="E325" s="72"/>
      <c r="F325" s="74"/>
      <c r="G325" s="74"/>
      <c r="H325" s="73"/>
      <c r="I325" s="73"/>
      <c r="J325" s="79"/>
      <c r="K325" s="72"/>
      <c r="L325" s="79"/>
      <c r="M325" s="79"/>
      <c r="N325" s="8"/>
      <c r="O325" s="8"/>
      <c r="P325" s="8"/>
      <c r="Q325" s="8"/>
      <c r="R325" s="8"/>
      <c r="S325" s="8"/>
      <c r="T325" s="8"/>
      <c r="U325" s="8"/>
      <c r="Y325" s="8"/>
      <c r="Z325" s="8"/>
    </row>
    <row r="326" spans="1:26" ht="36" customHeight="1" x14ac:dyDescent="0.25">
      <c r="B326" s="535"/>
      <c r="C326" s="535"/>
      <c r="D326" s="535"/>
      <c r="E326" s="535"/>
      <c r="F326" s="539"/>
      <c r="G326" s="539"/>
      <c r="H326" s="537"/>
      <c r="I326" s="537"/>
      <c r="J326" s="534"/>
      <c r="K326" s="535"/>
      <c r="L326" s="534"/>
      <c r="M326" s="534"/>
    </row>
    <row r="327" spans="1:26" s="5" customFormat="1" ht="30" customHeight="1" x14ac:dyDescent="0.3">
      <c r="A327" s="129"/>
      <c r="B327" s="650" t="s">
        <v>437</v>
      </c>
      <c r="C327" s="651"/>
      <c r="D327" s="640"/>
      <c r="E327" s="640"/>
      <c r="F327" s="975" t="s">
        <v>159</v>
      </c>
      <c r="G327" s="975"/>
      <c r="H327" s="975" t="s">
        <v>158</v>
      </c>
      <c r="I327" s="975"/>
      <c r="J327" s="975" t="s">
        <v>324</v>
      </c>
      <c r="K327" s="975"/>
      <c r="L327" s="129"/>
      <c r="M327" s="129"/>
      <c r="N327"/>
      <c r="O327"/>
      <c r="P327"/>
      <c r="Q327"/>
      <c r="R327"/>
      <c r="S327"/>
      <c r="T327"/>
      <c r="U327"/>
      <c r="Y327"/>
      <c r="Z327"/>
    </row>
    <row r="328" spans="1:26" s="5" customFormat="1" ht="13.8" thickBot="1" x14ac:dyDescent="0.3">
      <c r="A328" s="129"/>
      <c r="B328" s="651"/>
      <c r="C328" s="651"/>
      <c r="D328" s="640"/>
      <c r="E328" s="640"/>
      <c r="F328" s="640"/>
      <c r="G328" s="640"/>
      <c r="H328" s="641"/>
      <c r="I328" s="641"/>
      <c r="J328" s="129"/>
      <c r="K328" s="129"/>
      <c r="L328" s="129"/>
      <c r="M328" s="129"/>
    </row>
    <row r="329" spans="1:26" s="5" customFormat="1" ht="13.8" thickBot="1" x14ac:dyDescent="0.3">
      <c r="A329" s="129"/>
      <c r="B329" s="651"/>
      <c r="C329" s="651" t="s">
        <v>438</v>
      </c>
      <c r="D329" s="129"/>
      <c r="E329" s="640"/>
      <c r="F329" s="642">
        <v>5</v>
      </c>
      <c r="G329" s="640" t="s">
        <v>439</v>
      </c>
      <c r="H329" s="643">
        <v>160</v>
      </c>
      <c r="I329" s="641" t="s">
        <v>440</v>
      </c>
      <c r="J329" s="644">
        <f t="shared" ref="J329:J331" si="31">F329*H329</f>
        <v>800</v>
      </c>
      <c r="K329" s="640" t="s">
        <v>14</v>
      </c>
      <c r="L329" s="129"/>
      <c r="M329" s="129"/>
    </row>
    <row r="330" spans="1:26" s="5" customFormat="1" ht="13.8" thickBot="1" x14ac:dyDescent="0.3">
      <c r="A330" s="129"/>
      <c r="B330" s="651"/>
      <c r="C330" s="651" t="s">
        <v>510</v>
      </c>
      <c r="D330" s="640"/>
      <c r="E330" s="640"/>
      <c r="F330" s="642"/>
      <c r="G330" s="640" t="s">
        <v>0</v>
      </c>
      <c r="H330" s="643"/>
      <c r="I330" s="641" t="s">
        <v>14</v>
      </c>
      <c r="J330" s="644">
        <f t="shared" si="31"/>
        <v>0</v>
      </c>
      <c r="K330" s="640" t="s">
        <v>14</v>
      </c>
      <c r="L330" s="129"/>
      <c r="M330" s="129"/>
    </row>
    <row r="331" spans="1:26" s="5" customFormat="1" ht="13.8" thickBot="1" x14ac:dyDescent="0.3">
      <c r="A331" s="129"/>
      <c r="B331" s="651"/>
      <c r="C331" s="651" t="s">
        <v>510</v>
      </c>
      <c r="D331" s="640"/>
      <c r="E331" s="640"/>
      <c r="F331" s="642"/>
      <c r="G331" s="640" t="s">
        <v>0</v>
      </c>
      <c r="H331" s="643"/>
      <c r="I331" s="641" t="s">
        <v>14</v>
      </c>
      <c r="J331" s="644">
        <f t="shared" si="31"/>
        <v>0</v>
      </c>
      <c r="K331" s="640" t="s">
        <v>14</v>
      </c>
      <c r="L331" s="129"/>
      <c r="M331" s="129"/>
    </row>
    <row r="332" spans="1:26" s="5" customFormat="1" x14ac:dyDescent="0.25">
      <c r="A332" s="129"/>
      <c r="B332" s="658"/>
      <c r="C332" s="658" t="s">
        <v>196</v>
      </c>
      <c r="D332" s="369"/>
      <c r="E332" s="369"/>
      <c r="F332" s="645"/>
      <c r="G332" s="369"/>
      <c r="H332" s="646"/>
      <c r="I332" s="647"/>
      <c r="J332" s="648">
        <f>SUM(J329:J331)</f>
        <v>800</v>
      </c>
      <c r="K332" s="369" t="s">
        <v>14</v>
      </c>
      <c r="L332" s="369"/>
      <c r="M332" s="369"/>
    </row>
    <row r="333" spans="1:26" s="5" customFormat="1" x14ac:dyDescent="0.25">
      <c r="A333" s="129"/>
      <c r="B333" s="640"/>
      <c r="C333" s="640"/>
      <c r="D333" s="640"/>
      <c r="E333" s="640"/>
      <c r="F333" s="640"/>
      <c r="G333" s="640"/>
      <c r="H333" s="641"/>
      <c r="I333" s="641"/>
      <c r="J333" s="644"/>
      <c r="K333" s="640"/>
      <c r="L333" s="129"/>
      <c r="M333" s="129"/>
    </row>
    <row r="334" spans="1:26" s="5" customFormat="1" ht="30" customHeight="1" x14ac:dyDescent="0.25">
      <c r="A334" s="129"/>
      <c r="B334" s="535"/>
      <c r="C334" s="535"/>
      <c r="D334" s="535"/>
      <c r="E334" s="535"/>
      <c r="F334" s="539"/>
      <c r="G334" s="539"/>
      <c r="H334" s="537"/>
      <c r="I334" s="537"/>
      <c r="J334" s="534"/>
      <c r="K334" s="535"/>
      <c r="L334" s="534"/>
      <c r="M334" s="534"/>
    </row>
    <row r="335" spans="1:26" ht="40.950000000000003" customHeight="1" x14ac:dyDescent="0.3">
      <c r="A335" s="374"/>
      <c r="B335" s="110" t="s">
        <v>40</v>
      </c>
      <c r="C335" s="82"/>
      <c r="D335" s="82"/>
      <c r="E335" s="82"/>
      <c r="F335" s="965" t="s">
        <v>159</v>
      </c>
      <c r="G335" s="965"/>
      <c r="H335" s="965" t="s">
        <v>158</v>
      </c>
      <c r="I335" s="965"/>
      <c r="J335" s="965" t="s">
        <v>324</v>
      </c>
      <c r="K335" s="965"/>
      <c r="L335" s="84"/>
      <c r="M335" s="84"/>
      <c r="N335" s="5"/>
      <c r="O335" s="5"/>
      <c r="P335" s="5"/>
      <c r="Q335" s="5"/>
      <c r="R335" s="5"/>
      <c r="S335" s="5"/>
      <c r="T335" s="5"/>
      <c r="U335" s="5"/>
      <c r="Y335" s="5"/>
      <c r="Z335" s="5"/>
    </row>
    <row r="336" spans="1:26" ht="13.8" thickBot="1" x14ac:dyDescent="0.3">
      <c r="A336" s="374"/>
      <c r="B336" s="82"/>
      <c r="C336" s="82"/>
      <c r="D336" s="82"/>
      <c r="E336" s="82"/>
      <c r="F336" s="82"/>
      <c r="G336" s="82"/>
      <c r="H336" s="83"/>
      <c r="I336" s="83"/>
      <c r="J336" s="84"/>
      <c r="K336" s="84"/>
      <c r="L336" s="84"/>
      <c r="M336" s="84"/>
      <c r="N336" s="5"/>
    </row>
    <row r="337" spans="1:26" ht="13.8" thickBot="1" x14ac:dyDescent="0.3">
      <c r="A337" s="374"/>
      <c r="B337" s="82"/>
      <c r="C337" s="82" t="s">
        <v>604</v>
      </c>
      <c r="D337" s="82"/>
      <c r="E337" s="82"/>
      <c r="F337" s="463">
        <f>IF(S10&gt;0,S10*'Gårdens info'!$G$28/1,0)</f>
        <v>6833.333333333333</v>
      </c>
      <c r="G337" s="82" t="s">
        <v>153</v>
      </c>
      <c r="H337" s="99"/>
      <c r="I337" s="83" t="s">
        <v>152</v>
      </c>
      <c r="J337" s="85">
        <f>F337*H337</f>
        <v>0</v>
      </c>
      <c r="K337" s="82" t="s">
        <v>14</v>
      </c>
      <c r="L337" s="84"/>
      <c r="M337" s="84"/>
      <c r="N337" s="5"/>
    </row>
    <row r="338" spans="1:26" ht="13.8" thickBot="1" x14ac:dyDescent="0.3">
      <c r="A338" s="374"/>
      <c r="B338" s="82"/>
      <c r="C338" s="82" t="s">
        <v>443</v>
      </c>
      <c r="D338" s="84"/>
      <c r="E338" s="82"/>
      <c r="F338" s="463">
        <f>IF(S11&gt;0,S11*'Gårdens info'!$G$28/5,0)</f>
        <v>0</v>
      </c>
      <c r="G338" s="82" t="s">
        <v>153</v>
      </c>
      <c r="H338" s="99">
        <v>0.1</v>
      </c>
      <c r="I338" s="83" t="s">
        <v>152</v>
      </c>
      <c r="J338" s="85">
        <f>F338*H338</f>
        <v>0</v>
      </c>
      <c r="K338" s="82" t="s">
        <v>14</v>
      </c>
      <c r="L338" s="84"/>
      <c r="M338" s="84"/>
      <c r="N338" s="5"/>
    </row>
    <row r="339" spans="1:26" ht="13.8" thickBot="1" x14ac:dyDescent="0.3">
      <c r="A339" s="374"/>
      <c r="B339" s="82"/>
      <c r="C339" s="82" t="s">
        <v>598</v>
      </c>
      <c r="D339" s="84"/>
      <c r="E339" s="82"/>
      <c r="F339" s="463">
        <f>IF(S12&gt;0,S12*'Gårdens info'!$G$28/3,0)</f>
        <v>0</v>
      </c>
      <c r="G339" s="82" t="s">
        <v>153</v>
      </c>
      <c r="H339" s="99">
        <v>0.1</v>
      </c>
      <c r="I339" s="83" t="s">
        <v>152</v>
      </c>
      <c r="J339" s="85">
        <f t="shared" ref="J339:J344" si="32">F339*H339</f>
        <v>0</v>
      </c>
      <c r="K339" s="82" t="s">
        <v>14</v>
      </c>
      <c r="L339" s="84"/>
      <c r="M339" s="84"/>
      <c r="N339" s="5"/>
    </row>
    <row r="340" spans="1:26" ht="13.8" thickBot="1" x14ac:dyDescent="0.3">
      <c r="A340" s="374"/>
      <c r="B340" s="82"/>
      <c r="C340" s="82" t="s">
        <v>599</v>
      </c>
      <c r="D340" s="84"/>
      <c r="E340" s="82"/>
      <c r="F340" s="463">
        <f>IF(S13&gt;0,S13*'Gårdens info'!$G$28/10,0)</f>
        <v>0</v>
      </c>
      <c r="G340" s="82" t="s">
        <v>153</v>
      </c>
      <c r="H340" s="99">
        <v>0.1</v>
      </c>
      <c r="I340" s="83" t="s">
        <v>152</v>
      </c>
      <c r="J340" s="85">
        <f t="shared" si="32"/>
        <v>0</v>
      </c>
      <c r="K340" s="82" t="s">
        <v>14</v>
      </c>
      <c r="L340" s="84"/>
      <c r="M340" s="84"/>
      <c r="N340" s="5"/>
    </row>
    <row r="341" spans="1:26" ht="13.8" thickBot="1" x14ac:dyDescent="0.3">
      <c r="A341" s="374"/>
      <c r="B341" s="82"/>
      <c r="C341" s="82" t="s">
        <v>288</v>
      </c>
      <c r="D341" s="84"/>
      <c r="E341" s="82"/>
      <c r="F341" s="463">
        <f>IF(S14&gt;0,S14*'Gårdens info'!$G$28/0.5,0)</f>
        <v>13666.666666666666</v>
      </c>
      <c r="G341" s="82" t="s">
        <v>153</v>
      </c>
      <c r="H341" s="99">
        <v>0.04</v>
      </c>
      <c r="I341" s="83" t="s">
        <v>152</v>
      </c>
      <c r="J341" s="85">
        <f t="shared" si="32"/>
        <v>546.66666666666663</v>
      </c>
      <c r="K341" s="82" t="s">
        <v>14</v>
      </c>
      <c r="L341" s="84"/>
      <c r="M341" s="84"/>
      <c r="N341" s="5"/>
    </row>
    <row r="342" spans="1:26" ht="13.8" thickBot="1" x14ac:dyDescent="0.3">
      <c r="A342" s="374"/>
      <c r="B342" s="82"/>
      <c r="C342" s="96" t="s">
        <v>290</v>
      </c>
      <c r="D342" s="96"/>
      <c r="E342" s="82" t="s">
        <v>21</v>
      </c>
      <c r="F342" s="463">
        <f>IF(S15&gt;0,S15*'Gårdens info'!$G$28/D342,0)</f>
        <v>0</v>
      </c>
      <c r="G342" s="82" t="s">
        <v>153</v>
      </c>
      <c r="H342" s="99"/>
      <c r="I342" s="83" t="s">
        <v>152</v>
      </c>
      <c r="J342" s="85">
        <f t="shared" si="32"/>
        <v>0</v>
      </c>
      <c r="K342" s="82" t="s">
        <v>14</v>
      </c>
      <c r="L342" s="84"/>
      <c r="M342" s="84"/>
    </row>
    <row r="343" spans="1:26" ht="13.8" thickBot="1" x14ac:dyDescent="0.3">
      <c r="A343" s="374"/>
      <c r="B343" s="82"/>
      <c r="C343" s="96" t="s">
        <v>290</v>
      </c>
      <c r="D343" s="96"/>
      <c r="E343" s="82" t="s">
        <v>21</v>
      </c>
      <c r="F343" s="463">
        <f>IF(S16&gt;0,S16*'Gårdens info'!$G$28/D343,0)</f>
        <v>0</v>
      </c>
      <c r="G343" s="82" t="s">
        <v>153</v>
      </c>
      <c r="H343" s="99"/>
      <c r="I343" s="83" t="s">
        <v>152</v>
      </c>
      <c r="J343" s="85">
        <f t="shared" ref="J343" si="33">F343*H343</f>
        <v>0</v>
      </c>
      <c r="K343" s="82" t="s">
        <v>14</v>
      </c>
      <c r="L343" s="84"/>
      <c r="M343" s="84"/>
    </row>
    <row r="344" spans="1:26" ht="13.8" thickBot="1" x14ac:dyDescent="0.3">
      <c r="B344" s="82"/>
      <c r="C344" s="96" t="s">
        <v>290</v>
      </c>
      <c r="D344" s="96"/>
      <c r="E344" s="82" t="s">
        <v>21</v>
      </c>
      <c r="F344" s="463">
        <f>IF(S17&gt;0,S17*'Gårdens info'!$G$28/D344,0)</f>
        <v>0</v>
      </c>
      <c r="G344" s="82" t="s">
        <v>153</v>
      </c>
      <c r="H344" s="99"/>
      <c r="I344" s="83" t="s">
        <v>152</v>
      </c>
      <c r="J344" s="85">
        <f t="shared" si="32"/>
        <v>0</v>
      </c>
      <c r="K344" s="82" t="s">
        <v>14</v>
      </c>
      <c r="L344" s="84"/>
      <c r="M344" s="84"/>
    </row>
    <row r="345" spans="1:26" x14ac:dyDescent="0.25">
      <c r="B345" s="245"/>
      <c r="C345" s="245" t="s">
        <v>16</v>
      </c>
      <c r="D345" s="245"/>
      <c r="E345" s="245"/>
      <c r="F345" s="246"/>
      <c r="G345" s="245"/>
      <c r="H345" s="247"/>
      <c r="I345" s="248"/>
      <c r="J345" s="249">
        <f>SUM(J338:J344)</f>
        <v>546.66666666666663</v>
      </c>
      <c r="K345" s="245" t="s">
        <v>14</v>
      </c>
      <c r="L345" s="245"/>
      <c r="M345" s="245"/>
    </row>
    <row r="346" spans="1:26" s="8" customFormat="1" x14ac:dyDescent="0.25">
      <c r="A346" s="369"/>
      <c r="B346" s="82"/>
      <c r="C346" s="82"/>
      <c r="D346" s="82"/>
      <c r="E346" s="82"/>
      <c r="F346" s="82"/>
      <c r="G346" s="82"/>
      <c r="H346" s="83"/>
      <c r="I346" s="83"/>
      <c r="J346" s="85"/>
      <c r="K346" s="82"/>
      <c r="L346" s="84"/>
      <c r="M346" s="84"/>
      <c r="N346"/>
      <c r="O346"/>
      <c r="P346"/>
      <c r="Q346"/>
      <c r="R346"/>
      <c r="S346"/>
      <c r="T346"/>
      <c r="U346"/>
      <c r="Y346"/>
      <c r="Z346"/>
    </row>
    <row r="347" spans="1:26" x14ac:dyDescent="0.25">
      <c r="B347" s="534"/>
      <c r="C347" s="534"/>
      <c r="D347" s="534"/>
      <c r="E347" s="534"/>
      <c r="F347" s="534"/>
      <c r="G347" s="534"/>
      <c r="H347" s="534"/>
      <c r="I347" s="534"/>
      <c r="J347" s="534"/>
      <c r="K347" s="534"/>
      <c r="L347" s="534"/>
      <c r="M347" s="534"/>
      <c r="N347" s="8"/>
      <c r="O347" s="8"/>
      <c r="P347" s="8"/>
      <c r="Q347" s="8"/>
      <c r="R347" s="8"/>
      <c r="S347" s="8"/>
      <c r="T347" s="8"/>
      <c r="U347" s="8"/>
      <c r="Y347" s="8"/>
      <c r="Z347" s="8"/>
    </row>
    <row r="348" spans="1:26" ht="30" customHeight="1" x14ac:dyDescent="0.3">
      <c r="B348" s="111" t="s">
        <v>482</v>
      </c>
      <c r="C348" s="87"/>
      <c r="D348" s="87"/>
      <c r="E348" s="87"/>
      <c r="F348" s="966" t="s">
        <v>159</v>
      </c>
      <c r="G348" s="966"/>
      <c r="H348" s="966" t="s">
        <v>158</v>
      </c>
      <c r="I348" s="966"/>
      <c r="J348" s="966" t="s">
        <v>324</v>
      </c>
      <c r="K348" s="966"/>
      <c r="L348" s="89"/>
      <c r="M348" s="89"/>
    </row>
    <row r="349" spans="1:26" ht="13.8" thickBot="1" x14ac:dyDescent="0.3">
      <c r="B349" s="87"/>
      <c r="C349" s="87"/>
      <c r="D349" s="87"/>
      <c r="E349" s="87"/>
      <c r="F349" s="87"/>
      <c r="G349" s="87"/>
      <c r="H349" s="88"/>
      <c r="I349" s="88"/>
      <c r="J349" s="89"/>
      <c r="K349" s="89"/>
      <c r="L349" s="89"/>
      <c r="M349" s="89"/>
    </row>
    <row r="350" spans="1:26" ht="13.8" thickBot="1" x14ac:dyDescent="0.3">
      <c r="B350" s="87"/>
      <c r="C350" s="87" t="s">
        <v>483</v>
      </c>
      <c r="D350" s="89"/>
      <c r="E350" s="87"/>
      <c r="F350" s="96">
        <f>'Gårdens info'!G28*'Gårdens info'!D28</f>
        <v>41000</v>
      </c>
      <c r="G350" s="87" t="s">
        <v>21</v>
      </c>
      <c r="H350" s="99">
        <v>0.05</v>
      </c>
      <c r="I350" s="88" t="s">
        <v>6</v>
      </c>
      <c r="J350" s="90">
        <f t="shared" ref="J350:J352" si="34">F350*H350</f>
        <v>2050</v>
      </c>
      <c r="K350" s="87" t="s">
        <v>14</v>
      </c>
      <c r="L350" s="89"/>
      <c r="M350" s="89"/>
    </row>
    <row r="351" spans="1:26" ht="13.8" thickBot="1" x14ac:dyDescent="0.3">
      <c r="B351" s="87"/>
      <c r="C351" s="87" t="s">
        <v>510</v>
      </c>
      <c r="D351" s="87"/>
      <c r="E351" s="87"/>
      <c r="F351" s="96"/>
      <c r="G351" s="87" t="s">
        <v>21</v>
      </c>
      <c r="H351" s="99"/>
      <c r="I351" s="88" t="s">
        <v>6</v>
      </c>
      <c r="J351" s="90">
        <f t="shared" si="34"/>
        <v>0</v>
      </c>
      <c r="K351" s="87" t="s">
        <v>14</v>
      </c>
      <c r="L351" s="89"/>
      <c r="M351" s="89"/>
    </row>
    <row r="352" spans="1:26" ht="13.8" thickBot="1" x14ac:dyDescent="0.3">
      <c r="B352" s="87"/>
      <c r="C352" s="87" t="s">
        <v>510</v>
      </c>
      <c r="D352" s="87"/>
      <c r="E352" s="87"/>
      <c r="F352" s="96"/>
      <c r="G352" s="87" t="s">
        <v>21</v>
      </c>
      <c r="H352" s="99"/>
      <c r="I352" s="88" t="s">
        <v>6</v>
      </c>
      <c r="J352" s="90">
        <f t="shared" si="34"/>
        <v>0</v>
      </c>
      <c r="K352" s="87" t="s">
        <v>14</v>
      </c>
      <c r="L352" s="89"/>
      <c r="M352" s="89"/>
    </row>
    <row r="353" spans="1:26" x14ac:dyDescent="0.25">
      <c r="B353" s="250"/>
      <c r="C353" s="250" t="s">
        <v>196</v>
      </c>
      <c r="D353" s="250"/>
      <c r="E353" s="250"/>
      <c r="F353" s="251"/>
      <c r="G353" s="250"/>
      <c r="H353" s="252"/>
      <c r="I353" s="253"/>
      <c r="J353" s="254">
        <f>SUM(J350:J352)</f>
        <v>2050</v>
      </c>
      <c r="K353" s="250" t="s">
        <v>14</v>
      </c>
      <c r="L353" s="250"/>
      <c r="M353" s="250"/>
    </row>
    <row r="354" spans="1:26" s="8" customFormat="1" x14ac:dyDescent="0.25">
      <c r="A354" s="369"/>
      <c r="B354" s="87"/>
      <c r="C354" s="87"/>
      <c r="D354" s="87"/>
      <c r="E354" s="87"/>
      <c r="F354" s="87"/>
      <c r="G354" s="87"/>
      <c r="H354" s="88"/>
      <c r="I354" s="88"/>
      <c r="J354" s="90"/>
      <c r="K354" s="87"/>
      <c r="L354" s="89"/>
      <c r="M354" s="89"/>
      <c r="N354"/>
      <c r="O354"/>
      <c r="P354"/>
      <c r="Q354"/>
      <c r="R354"/>
      <c r="S354"/>
      <c r="T354"/>
      <c r="U354"/>
      <c r="Y354"/>
      <c r="Z354"/>
    </row>
    <row r="355" spans="1:26" x14ac:dyDescent="0.25">
      <c r="B355" s="534"/>
      <c r="C355" s="534"/>
      <c r="D355" s="534"/>
      <c r="E355" s="534"/>
      <c r="F355" s="534"/>
      <c r="G355" s="534"/>
      <c r="H355" s="534"/>
      <c r="I355" s="534"/>
      <c r="J355" s="534"/>
      <c r="K355" s="534"/>
      <c r="L355" s="534"/>
      <c r="M355" s="534"/>
      <c r="N355" s="8"/>
      <c r="O355" s="8"/>
      <c r="P355" s="8"/>
      <c r="Q355" s="8"/>
      <c r="R355" s="8"/>
      <c r="S355" s="8"/>
      <c r="T355" s="8"/>
      <c r="U355" s="8"/>
      <c r="Y355" s="8"/>
      <c r="Z355" s="8"/>
    </row>
    <row r="356" spans="1:26" ht="37.049999999999997" customHeight="1" x14ac:dyDescent="0.3">
      <c r="B356" s="219" t="s">
        <v>512</v>
      </c>
      <c r="C356" s="220"/>
      <c r="D356" s="220"/>
      <c r="E356" s="220"/>
      <c r="F356" s="964" t="s">
        <v>159</v>
      </c>
      <c r="G356" s="964"/>
      <c r="H356" s="964" t="s">
        <v>158</v>
      </c>
      <c r="I356" s="964"/>
      <c r="J356" s="964" t="s">
        <v>324</v>
      </c>
      <c r="K356" s="964"/>
      <c r="L356" s="222"/>
      <c r="M356" s="222"/>
    </row>
    <row r="357" spans="1:26" ht="13.8" thickBot="1" x14ac:dyDescent="0.3">
      <c r="B357" s="220"/>
      <c r="C357" s="220"/>
      <c r="D357" s="220"/>
      <c r="E357" s="220"/>
      <c r="F357" s="220"/>
      <c r="G357" s="220"/>
      <c r="H357" s="221"/>
      <c r="I357" s="221"/>
      <c r="J357" s="222"/>
      <c r="K357" s="222"/>
      <c r="L357" s="222"/>
      <c r="M357" s="222"/>
    </row>
    <row r="358" spans="1:26" ht="13.8" thickBot="1" x14ac:dyDescent="0.3">
      <c r="B358" s="220"/>
      <c r="C358" s="220" t="s">
        <v>294</v>
      </c>
      <c r="D358" s="222"/>
      <c r="E358" s="220"/>
      <c r="F358" s="96"/>
      <c r="G358" s="220" t="s">
        <v>0</v>
      </c>
      <c r="H358" s="99"/>
      <c r="I358" s="221" t="s">
        <v>14</v>
      </c>
      <c r="J358" s="223">
        <f t="shared" ref="J358:J360" si="35">F358*H358</f>
        <v>0</v>
      </c>
      <c r="K358" s="220" t="s">
        <v>14</v>
      </c>
      <c r="L358" s="222"/>
      <c r="M358" s="222"/>
    </row>
    <row r="359" spans="1:26" ht="13.8" thickBot="1" x14ac:dyDescent="0.3">
      <c r="B359" s="220"/>
      <c r="C359" s="220" t="s">
        <v>294</v>
      </c>
      <c r="D359" s="220"/>
      <c r="E359" s="220"/>
      <c r="F359" s="96"/>
      <c r="G359" s="220" t="s">
        <v>0</v>
      </c>
      <c r="H359" s="99"/>
      <c r="I359" s="221" t="s">
        <v>14</v>
      </c>
      <c r="J359" s="223">
        <f t="shared" si="35"/>
        <v>0</v>
      </c>
      <c r="K359" s="220" t="s">
        <v>14</v>
      </c>
      <c r="L359" s="222"/>
      <c r="M359" s="222"/>
    </row>
    <row r="360" spans="1:26" ht="13.8" thickBot="1" x14ac:dyDescent="0.3">
      <c r="B360" s="220"/>
      <c r="C360" s="220" t="s">
        <v>294</v>
      </c>
      <c r="D360" s="220"/>
      <c r="E360" s="220"/>
      <c r="F360" s="96"/>
      <c r="G360" s="220" t="s">
        <v>0</v>
      </c>
      <c r="H360" s="99"/>
      <c r="I360" s="221" t="s">
        <v>14</v>
      </c>
      <c r="J360" s="223">
        <f t="shared" si="35"/>
        <v>0</v>
      </c>
      <c r="K360" s="220" t="s">
        <v>14</v>
      </c>
      <c r="L360" s="222"/>
      <c r="M360" s="222"/>
    </row>
    <row r="361" spans="1:26" x14ac:dyDescent="0.25">
      <c r="B361" s="255"/>
      <c r="C361" s="255" t="s">
        <v>196</v>
      </c>
      <c r="D361" s="255"/>
      <c r="E361" s="255"/>
      <c r="F361" s="256"/>
      <c r="G361" s="255"/>
      <c r="H361" s="257"/>
      <c r="I361" s="258"/>
      <c r="J361" s="259">
        <f>SUM(J358:J360)</f>
        <v>0</v>
      </c>
      <c r="K361" s="255" t="s">
        <v>14</v>
      </c>
      <c r="L361" s="255"/>
      <c r="M361" s="255"/>
    </row>
    <row r="362" spans="1:26" s="8" customFormat="1" x14ac:dyDescent="0.25">
      <c r="A362" s="369"/>
      <c r="B362" s="220"/>
      <c r="C362" s="220"/>
      <c r="D362" s="220"/>
      <c r="E362" s="220"/>
      <c r="F362" s="220"/>
      <c r="G362" s="220"/>
      <c r="H362" s="221"/>
      <c r="I362" s="221"/>
      <c r="J362" s="223"/>
      <c r="K362" s="220"/>
      <c r="L362" s="222"/>
      <c r="M362" s="222"/>
      <c r="N362"/>
      <c r="O362"/>
      <c r="P362"/>
      <c r="Q362"/>
      <c r="R362"/>
      <c r="S362"/>
      <c r="T362"/>
      <c r="U362"/>
      <c r="Y362"/>
      <c r="Z362"/>
    </row>
    <row r="363" spans="1:26" x14ac:dyDescent="0.25">
      <c r="B363" s="534"/>
      <c r="C363" s="534"/>
      <c r="D363" s="534"/>
      <c r="E363" s="534"/>
      <c r="F363" s="534"/>
      <c r="G363" s="534"/>
      <c r="H363" s="534"/>
      <c r="I363" s="534"/>
      <c r="J363" s="534"/>
      <c r="K363" s="534"/>
      <c r="L363" s="534"/>
      <c r="M363" s="534"/>
      <c r="N363" s="8"/>
      <c r="O363" s="8"/>
      <c r="P363" s="8"/>
      <c r="Q363" s="8"/>
      <c r="R363" s="8"/>
      <c r="S363" s="8"/>
      <c r="T363" s="8"/>
      <c r="U363" s="8"/>
      <c r="Y363" s="8"/>
      <c r="Z363" s="8"/>
    </row>
    <row r="364" spans="1:26" ht="33" customHeight="1" x14ac:dyDescent="0.3">
      <c r="B364" s="225" t="s">
        <v>513</v>
      </c>
      <c r="C364" s="226"/>
      <c r="D364" s="226"/>
      <c r="E364" s="227"/>
      <c r="F364" s="226" t="s">
        <v>159</v>
      </c>
      <c r="G364" s="228"/>
      <c r="H364" s="228" t="s">
        <v>158</v>
      </c>
      <c r="I364" s="226"/>
      <c r="J364" s="226" t="s">
        <v>324</v>
      </c>
      <c r="K364" s="229"/>
      <c r="L364" s="229"/>
      <c r="M364" s="229"/>
    </row>
    <row r="365" spans="1:26" ht="16.2" thickBot="1" x14ac:dyDescent="0.35">
      <c r="B365" s="225"/>
      <c r="C365" s="226"/>
      <c r="D365" s="226"/>
      <c r="E365" s="227"/>
      <c r="F365" s="226"/>
      <c r="G365" s="228"/>
      <c r="H365" s="228"/>
      <c r="I365" s="226"/>
      <c r="J365" s="226"/>
      <c r="K365" s="229"/>
      <c r="L365" s="229"/>
      <c r="M365" s="229"/>
    </row>
    <row r="366" spans="1:26" ht="13.8" thickBot="1" x14ac:dyDescent="0.3">
      <c r="B366" s="226"/>
      <c r="C366" s="226" t="s">
        <v>296</v>
      </c>
      <c r="D366" s="229"/>
      <c r="E366" s="230"/>
      <c r="F366" s="96">
        <v>1500</v>
      </c>
      <c r="G366" s="231" t="s">
        <v>18</v>
      </c>
      <c r="H366" s="96">
        <v>0.15</v>
      </c>
      <c r="I366" s="232" t="s">
        <v>10</v>
      </c>
      <c r="J366" s="229">
        <f>H366*F366</f>
        <v>225</v>
      </c>
      <c r="K366" s="232" t="s">
        <v>14</v>
      </c>
      <c r="L366" s="229"/>
      <c r="M366" s="229"/>
    </row>
    <row r="367" spans="1:26" ht="13.8" thickBot="1" x14ac:dyDescent="0.3">
      <c r="B367" s="226"/>
      <c r="C367" s="226" t="s">
        <v>464</v>
      </c>
      <c r="D367" s="232">
        <f>F396/2</f>
        <v>81</v>
      </c>
      <c r="E367" s="226" t="s">
        <v>9</v>
      </c>
      <c r="F367" s="96">
        <f>+D367*8</f>
        <v>648</v>
      </c>
      <c r="G367" s="228" t="s">
        <v>20</v>
      </c>
      <c r="H367" s="96">
        <v>0.83</v>
      </c>
      <c r="I367" s="232" t="s">
        <v>5</v>
      </c>
      <c r="J367" s="229">
        <f>H367*F367</f>
        <v>537.83999999999992</v>
      </c>
      <c r="K367" s="232" t="s">
        <v>14</v>
      </c>
      <c r="L367" s="229"/>
      <c r="M367" s="229"/>
    </row>
    <row r="368" spans="1:26" ht="13.8" thickBot="1" x14ac:dyDescent="0.3">
      <c r="B368" s="226"/>
      <c r="C368" s="226" t="s">
        <v>298</v>
      </c>
      <c r="D368" s="232">
        <f>D367</f>
        <v>81</v>
      </c>
      <c r="E368" s="226" t="s">
        <v>9</v>
      </c>
      <c r="F368" s="96">
        <v>11.88</v>
      </c>
      <c r="G368" s="228" t="s">
        <v>21</v>
      </c>
      <c r="H368" s="96">
        <v>4</v>
      </c>
      <c r="I368" s="232" t="s">
        <v>6</v>
      </c>
      <c r="J368" s="229">
        <f t="shared" ref="J368:J372" si="36">H368*F368</f>
        <v>47.52</v>
      </c>
      <c r="K368" s="232" t="s">
        <v>14</v>
      </c>
      <c r="L368" s="229"/>
      <c r="M368" s="229"/>
    </row>
    <row r="369" spans="1:26" ht="13.8" thickBot="1" x14ac:dyDescent="0.3">
      <c r="B369" s="226"/>
      <c r="C369" s="226" t="s">
        <v>19</v>
      </c>
      <c r="D369" s="229"/>
      <c r="E369" s="232"/>
      <c r="F369" s="96">
        <v>200</v>
      </c>
      <c r="G369" s="228" t="s">
        <v>20</v>
      </c>
      <c r="H369" s="96">
        <v>1.53</v>
      </c>
      <c r="I369" s="232" t="s">
        <v>5</v>
      </c>
      <c r="J369" s="229">
        <f t="shared" si="36"/>
        <v>306</v>
      </c>
      <c r="K369" s="232" t="s">
        <v>14</v>
      </c>
      <c r="L369" s="229"/>
      <c r="M369" s="229"/>
    </row>
    <row r="370" spans="1:26" ht="13.8" thickBot="1" x14ac:dyDescent="0.3">
      <c r="B370" s="226"/>
      <c r="C370" s="226" t="s">
        <v>299</v>
      </c>
      <c r="D370" s="229"/>
      <c r="E370" s="232"/>
      <c r="F370" s="96">
        <v>1.48</v>
      </c>
      <c r="G370" s="228" t="s">
        <v>20</v>
      </c>
      <c r="H370" s="96">
        <v>1.6</v>
      </c>
      <c r="I370" s="232" t="s">
        <v>5</v>
      </c>
      <c r="J370" s="229">
        <f t="shared" si="36"/>
        <v>2.3679999999999999</v>
      </c>
      <c r="K370" s="232" t="s">
        <v>14</v>
      </c>
      <c r="L370" s="229"/>
      <c r="M370" s="229"/>
    </row>
    <row r="371" spans="1:26" ht="13.8" thickBot="1" x14ac:dyDescent="0.3">
      <c r="B371" s="226"/>
      <c r="C371" s="226" t="s">
        <v>300</v>
      </c>
      <c r="D371" s="229"/>
      <c r="E371" s="232"/>
      <c r="F371" s="96"/>
      <c r="G371" s="228"/>
      <c r="H371" s="96"/>
      <c r="I371" s="232"/>
      <c r="J371" s="229">
        <f t="shared" si="36"/>
        <v>0</v>
      </c>
      <c r="K371" s="232" t="s">
        <v>14</v>
      </c>
      <c r="L371" s="229"/>
      <c r="M371" s="229"/>
    </row>
    <row r="372" spans="1:26" ht="13.8" thickBot="1" x14ac:dyDescent="0.3">
      <c r="B372" s="229"/>
      <c r="C372" s="226" t="s">
        <v>300</v>
      </c>
      <c r="D372" s="229"/>
      <c r="E372" s="229"/>
      <c r="F372" s="96"/>
      <c r="G372" s="229"/>
      <c r="H372" s="96"/>
      <c r="I372" s="229"/>
      <c r="J372" s="229">
        <f t="shared" si="36"/>
        <v>0</v>
      </c>
      <c r="K372" s="232" t="s">
        <v>14</v>
      </c>
      <c r="L372" s="229"/>
      <c r="M372" s="229"/>
    </row>
    <row r="373" spans="1:26" x14ac:dyDescent="0.25">
      <c r="B373" s="260"/>
      <c r="C373" s="260" t="s">
        <v>196</v>
      </c>
      <c r="D373" s="260"/>
      <c r="E373" s="260"/>
      <c r="F373" s="261"/>
      <c r="G373" s="260"/>
      <c r="H373" s="261"/>
      <c r="I373" s="260"/>
      <c r="J373" s="260">
        <f>SUM(J366:J372)</f>
        <v>1118.7279999999998</v>
      </c>
      <c r="K373" s="262" t="s">
        <v>14</v>
      </c>
      <c r="L373" s="260"/>
      <c r="M373" s="260"/>
    </row>
    <row r="374" spans="1:26" s="8" customFormat="1" x14ac:dyDescent="0.25">
      <c r="A374" s="369"/>
      <c r="B374" s="229"/>
      <c r="C374" s="229"/>
      <c r="D374" s="229"/>
      <c r="E374" s="229"/>
      <c r="F374" s="229"/>
      <c r="G374" s="229"/>
      <c r="H374" s="229"/>
      <c r="I374" s="229"/>
      <c r="J374" s="229"/>
      <c r="K374" s="229"/>
      <c r="L374" s="229"/>
      <c r="M374" s="229"/>
      <c r="N374"/>
      <c r="O374"/>
      <c r="P374"/>
      <c r="Q374"/>
      <c r="R374"/>
      <c r="S374"/>
      <c r="T374"/>
      <c r="U374"/>
      <c r="Y374"/>
      <c r="Z374"/>
    </row>
    <row r="375" spans="1:26" x14ac:dyDescent="0.25">
      <c r="B375" s="534"/>
      <c r="C375" s="534"/>
      <c r="D375" s="534"/>
      <c r="E375" s="534"/>
      <c r="F375" s="534"/>
      <c r="G375" s="534"/>
      <c r="H375" s="534"/>
      <c r="I375" s="534"/>
      <c r="J375" s="534"/>
      <c r="K375" s="534"/>
      <c r="L375" s="534"/>
      <c r="M375" s="534"/>
      <c r="N375" s="8"/>
      <c r="O375" s="8"/>
      <c r="P375" s="8"/>
      <c r="Q375" s="8"/>
      <c r="R375" s="8"/>
      <c r="S375" s="8"/>
      <c r="T375" s="8"/>
      <c r="U375" s="8"/>
      <c r="Y375" s="8"/>
      <c r="Z375" s="8"/>
    </row>
    <row r="376" spans="1:26" ht="31.95" customHeight="1" x14ac:dyDescent="0.3">
      <c r="B376" s="112" t="s">
        <v>484</v>
      </c>
      <c r="C376" s="101"/>
      <c r="D376" s="101"/>
      <c r="E376" s="101"/>
      <c r="F376" s="101"/>
      <c r="G376" s="101"/>
      <c r="H376" s="101"/>
      <c r="I376" s="101"/>
      <c r="J376" s="101"/>
      <c r="K376" s="101"/>
      <c r="L376" s="101"/>
      <c r="M376" s="101"/>
    </row>
    <row r="377" spans="1:26" ht="15.6" x14ac:dyDescent="0.3">
      <c r="B377" s="112"/>
      <c r="C377" s="101"/>
      <c r="D377" s="101"/>
      <c r="E377" s="101"/>
      <c r="F377" s="101"/>
      <c r="G377" s="101"/>
      <c r="H377" s="101"/>
      <c r="I377" s="101"/>
      <c r="J377" s="101"/>
      <c r="K377" s="101"/>
      <c r="L377" s="101"/>
      <c r="M377" s="101"/>
    </row>
    <row r="378" spans="1:26" ht="30" customHeight="1" x14ac:dyDescent="0.25">
      <c r="B378" s="961" t="s">
        <v>302</v>
      </c>
      <c r="C378" s="961"/>
      <c r="D378" s="961"/>
      <c r="E378" s="961"/>
      <c r="F378" s="961"/>
      <c r="G378" s="961"/>
      <c r="H378" s="961"/>
      <c r="I378" s="961"/>
      <c r="J378" s="961"/>
      <c r="K378" s="961"/>
      <c r="L378" s="961"/>
      <c r="M378" s="961"/>
    </row>
    <row r="379" spans="1:26" ht="46.95" customHeight="1" x14ac:dyDescent="0.3">
      <c r="B379" s="112"/>
      <c r="C379" s="101"/>
      <c r="D379" s="101"/>
      <c r="E379" s="834"/>
      <c r="F379" s="834"/>
      <c r="G379" s="834"/>
      <c r="H379" s="835"/>
      <c r="I379" s="835"/>
      <c r="J379" s="834"/>
      <c r="K379" s="834"/>
      <c r="L379" s="835"/>
      <c r="M379" s="835"/>
    </row>
    <row r="380" spans="1:26" ht="15.6" x14ac:dyDescent="0.3">
      <c r="B380" s="112"/>
      <c r="C380" s="101"/>
      <c r="D380" s="101"/>
      <c r="E380" s="962" t="s">
        <v>303</v>
      </c>
      <c r="F380" s="962"/>
      <c r="G380" s="962"/>
      <c r="H380" s="963" t="s">
        <v>158</v>
      </c>
      <c r="I380" s="963"/>
      <c r="J380" s="963" t="s">
        <v>304</v>
      </c>
      <c r="K380" s="963"/>
      <c r="L380" s="963" t="s">
        <v>158</v>
      </c>
      <c r="M380" s="963"/>
    </row>
    <row r="381" spans="1:26" ht="15.6" thickBot="1" x14ac:dyDescent="0.3">
      <c r="B381" s="100"/>
      <c r="C381" s="101"/>
      <c r="D381" s="101"/>
      <c r="E381" s="101"/>
      <c r="F381" s="101"/>
      <c r="G381" s="101"/>
      <c r="H381" s="101"/>
      <c r="I381" s="101"/>
      <c r="J381" s="101"/>
      <c r="K381" s="101"/>
      <c r="L381" s="101"/>
      <c r="M381" s="101"/>
    </row>
    <row r="382" spans="1:26" ht="13.8" thickBot="1" x14ac:dyDescent="0.3">
      <c r="B382" s="101"/>
      <c r="C382" s="102" t="s">
        <v>323</v>
      </c>
      <c r="D382" s="101"/>
      <c r="E382" s="101"/>
      <c r="F382" s="115">
        <v>1</v>
      </c>
      <c r="G382" s="104" t="s">
        <v>22</v>
      </c>
      <c r="H382" s="114">
        <f t="shared" ref="H382:H395" si="37">$H$168</f>
        <v>14.5</v>
      </c>
      <c r="I382" s="104" t="s">
        <v>11</v>
      </c>
      <c r="J382" s="116"/>
      <c r="K382" s="104" t="s">
        <v>22</v>
      </c>
      <c r="L382" s="114">
        <f t="shared" ref="L382:L395" si="38">$L$168</f>
        <v>14.5</v>
      </c>
      <c r="M382" s="104" t="s">
        <v>11</v>
      </c>
    </row>
    <row r="383" spans="1:26" ht="13.8" thickBot="1" x14ac:dyDescent="0.3">
      <c r="B383" s="101"/>
      <c r="C383" s="102" t="s">
        <v>516</v>
      </c>
      <c r="D383" s="101"/>
      <c r="E383" s="101"/>
      <c r="F383" s="115">
        <v>80</v>
      </c>
      <c r="G383" s="104" t="s">
        <v>22</v>
      </c>
      <c r="H383" s="114">
        <f t="shared" si="37"/>
        <v>14.5</v>
      </c>
      <c r="I383" s="104" t="s">
        <v>11</v>
      </c>
      <c r="J383" s="116"/>
      <c r="K383" s="104" t="s">
        <v>22</v>
      </c>
      <c r="L383" s="114">
        <f t="shared" si="38"/>
        <v>14.5</v>
      </c>
      <c r="M383" s="104" t="s">
        <v>11</v>
      </c>
    </row>
    <row r="384" spans="1:26" ht="13.8" thickBot="1" x14ac:dyDescent="0.3">
      <c r="B384" s="101"/>
      <c r="C384" s="102" t="s">
        <v>605</v>
      </c>
      <c r="D384" s="101"/>
      <c r="E384" s="101"/>
      <c r="F384" s="115">
        <v>6</v>
      </c>
      <c r="G384" s="104" t="s">
        <v>22</v>
      </c>
      <c r="H384" s="114">
        <f t="shared" si="37"/>
        <v>14.5</v>
      </c>
      <c r="I384" s="104" t="s">
        <v>11</v>
      </c>
      <c r="J384" s="116"/>
      <c r="K384" s="104" t="s">
        <v>22</v>
      </c>
      <c r="L384" s="114">
        <f t="shared" si="38"/>
        <v>14.5</v>
      </c>
      <c r="M384" s="104" t="s">
        <v>11</v>
      </c>
    </row>
    <row r="385" spans="1:26" ht="13.8" thickBot="1" x14ac:dyDescent="0.3">
      <c r="B385" s="101"/>
      <c r="C385" s="102" t="s">
        <v>427</v>
      </c>
      <c r="D385" s="101"/>
      <c r="E385" s="101"/>
      <c r="F385" s="115">
        <v>20</v>
      </c>
      <c r="G385" s="104" t="s">
        <v>22</v>
      </c>
      <c r="H385" s="114">
        <f t="shared" si="37"/>
        <v>14.5</v>
      </c>
      <c r="I385" s="104" t="s">
        <v>11</v>
      </c>
      <c r="J385" s="116">
        <v>20</v>
      </c>
      <c r="K385" s="104" t="s">
        <v>22</v>
      </c>
      <c r="L385" s="114">
        <f t="shared" si="38"/>
        <v>14.5</v>
      </c>
      <c r="M385" s="104" t="s">
        <v>11</v>
      </c>
    </row>
    <row r="386" spans="1:26" ht="13.8" thickBot="1" x14ac:dyDescent="0.3">
      <c r="B386" s="101"/>
      <c r="C386" s="102" t="s">
        <v>317</v>
      </c>
      <c r="D386" s="101"/>
      <c r="E386" s="101"/>
      <c r="F386" s="115">
        <v>7</v>
      </c>
      <c r="G386" s="104" t="s">
        <v>22</v>
      </c>
      <c r="H386" s="114">
        <f t="shared" si="37"/>
        <v>14.5</v>
      </c>
      <c r="I386" s="104" t="s">
        <v>11</v>
      </c>
      <c r="J386" s="116"/>
      <c r="K386" s="104" t="s">
        <v>22</v>
      </c>
      <c r="L386" s="114">
        <f t="shared" si="38"/>
        <v>14.5</v>
      </c>
      <c r="M386" s="104" t="s">
        <v>11</v>
      </c>
    </row>
    <row r="387" spans="1:26" ht="13.8" thickBot="1" x14ac:dyDescent="0.3">
      <c r="B387" s="101"/>
      <c r="C387" s="102" t="s">
        <v>132</v>
      </c>
      <c r="D387" s="101"/>
      <c r="E387" s="101"/>
      <c r="F387" s="115"/>
      <c r="G387" s="104" t="s">
        <v>21</v>
      </c>
      <c r="H387" s="115"/>
      <c r="I387" s="104" t="s">
        <v>6</v>
      </c>
      <c r="J387" s="115">
        <f>'Gårdens info'!G28*'Gårdens info'!D28</f>
        <v>41000</v>
      </c>
      <c r="K387" s="104" t="s">
        <v>21</v>
      </c>
      <c r="L387" s="115">
        <v>0.5</v>
      </c>
      <c r="M387" s="104" t="s">
        <v>6</v>
      </c>
    </row>
    <row r="388" spans="1:26" ht="13.8" thickBot="1" x14ac:dyDescent="0.3">
      <c r="B388" s="101"/>
      <c r="C388" s="102" t="s">
        <v>132</v>
      </c>
      <c r="D388" s="101"/>
      <c r="E388" s="101"/>
      <c r="F388" s="115"/>
      <c r="G388" s="104" t="s">
        <v>22</v>
      </c>
      <c r="H388" s="114">
        <f t="shared" si="37"/>
        <v>14.5</v>
      </c>
      <c r="I388" s="104" t="s">
        <v>11</v>
      </c>
      <c r="J388" s="116"/>
      <c r="K388" s="104" t="s">
        <v>22</v>
      </c>
      <c r="L388" s="114">
        <f t="shared" si="38"/>
        <v>14.5</v>
      </c>
      <c r="M388" s="104" t="s">
        <v>11</v>
      </c>
    </row>
    <row r="389" spans="1:26" ht="13.8" thickBot="1" x14ac:dyDescent="0.3">
      <c r="B389" s="101"/>
      <c r="C389" s="102" t="s">
        <v>454</v>
      </c>
      <c r="D389" s="101"/>
      <c r="E389" s="101"/>
      <c r="F389" s="115">
        <v>20</v>
      </c>
      <c r="G389" s="104" t="s">
        <v>22</v>
      </c>
      <c r="H389" s="114">
        <f t="shared" si="37"/>
        <v>14.5</v>
      </c>
      <c r="I389" s="104" t="s">
        <v>11</v>
      </c>
      <c r="J389" s="116">
        <v>30</v>
      </c>
      <c r="K389" s="104" t="s">
        <v>22</v>
      </c>
      <c r="L389" s="114">
        <f t="shared" si="38"/>
        <v>14.5</v>
      </c>
      <c r="M389" s="104" t="s">
        <v>11</v>
      </c>
    </row>
    <row r="390" spans="1:26" ht="13.8" thickBot="1" x14ac:dyDescent="0.3">
      <c r="B390" s="101"/>
      <c r="C390" s="102" t="s">
        <v>428</v>
      </c>
      <c r="D390" s="101"/>
      <c r="E390" s="101"/>
      <c r="F390" s="115">
        <v>8</v>
      </c>
      <c r="G390" s="104" t="s">
        <v>22</v>
      </c>
      <c r="H390" s="114">
        <f t="shared" si="37"/>
        <v>14.5</v>
      </c>
      <c r="I390" s="104" t="s">
        <v>11</v>
      </c>
      <c r="J390" s="116"/>
      <c r="K390" s="104" t="s">
        <v>22</v>
      </c>
      <c r="L390" s="114">
        <f t="shared" si="38"/>
        <v>14.5</v>
      </c>
      <c r="M390" s="104" t="s">
        <v>11</v>
      </c>
    </row>
    <row r="391" spans="1:26" ht="13.8" thickBot="1" x14ac:dyDescent="0.3">
      <c r="B391" s="101"/>
      <c r="C391" s="102" t="s">
        <v>571</v>
      </c>
      <c r="D391" s="101"/>
      <c r="E391" s="101"/>
      <c r="F391" s="115">
        <v>10</v>
      </c>
      <c r="G391" s="104" t="s">
        <v>22</v>
      </c>
      <c r="H391" s="114">
        <f t="shared" si="37"/>
        <v>14.5</v>
      </c>
      <c r="I391" s="104" t="s">
        <v>11</v>
      </c>
      <c r="J391" s="116"/>
      <c r="K391" s="104" t="s">
        <v>22</v>
      </c>
      <c r="L391" s="114">
        <f t="shared" si="38"/>
        <v>14.5</v>
      </c>
      <c r="M391" s="104" t="s">
        <v>11</v>
      </c>
    </row>
    <row r="392" spans="1:26" ht="13.8" thickBot="1" x14ac:dyDescent="0.3">
      <c r="B392" s="101"/>
      <c r="C392" s="102" t="s">
        <v>429</v>
      </c>
      <c r="D392" s="101"/>
      <c r="E392" s="101"/>
      <c r="F392" s="116">
        <v>10</v>
      </c>
      <c r="G392" s="104" t="s">
        <v>22</v>
      </c>
      <c r="H392" s="114">
        <f t="shared" si="37"/>
        <v>14.5</v>
      </c>
      <c r="I392" s="104" t="s">
        <v>11</v>
      </c>
      <c r="J392" s="116"/>
      <c r="K392" s="104" t="s">
        <v>22</v>
      </c>
      <c r="L392" s="114">
        <f t="shared" si="38"/>
        <v>14.5</v>
      </c>
      <c r="M392" s="104" t="s">
        <v>11</v>
      </c>
    </row>
    <row r="393" spans="1:26" ht="13.8" thickBot="1" x14ac:dyDescent="0.3">
      <c r="B393" s="101"/>
      <c r="C393" s="102" t="s">
        <v>431</v>
      </c>
      <c r="D393" s="101"/>
      <c r="E393" s="101"/>
      <c r="F393" s="116"/>
      <c r="G393" s="104" t="s">
        <v>22</v>
      </c>
      <c r="H393" s="114">
        <f t="shared" si="37"/>
        <v>14.5</v>
      </c>
      <c r="I393" s="104" t="s">
        <v>11</v>
      </c>
      <c r="J393" s="97"/>
      <c r="K393" s="104" t="s">
        <v>22</v>
      </c>
      <c r="L393" s="114">
        <f t="shared" si="38"/>
        <v>14.5</v>
      </c>
      <c r="M393" s="104" t="s">
        <v>11</v>
      </c>
    </row>
    <row r="394" spans="1:26" ht="13.8" thickBot="1" x14ac:dyDescent="0.3">
      <c r="B394" s="101"/>
      <c r="C394" s="102" t="s">
        <v>431</v>
      </c>
      <c r="D394" s="101"/>
      <c r="E394" s="101"/>
      <c r="F394" s="116"/>
      <c r="G394" s="104" t="s">
        <v>22</v>
      </c>
      <c r="H394" s="114">
        <f t="shared" si="37"/>
        <v>14.5</v>
      </c>
      <c r="I394" s="104" t="s">
        <v>11</v>
      </c>
      <c r="J394" s="97"/>
      <c r="K394" s="104" t="s">
        <v>22</v>
      </c>
      <c r="L394" s="114">
        <f t="shared" si="38"/>
        <v>14.5</v>
      </c>
      <c r="M394" s="104" t="s">
        <v>11</v>
      </c>
    </row>
    <row r="395" spans="1:26" ht="13.8" thickBot="1" x14ac:dyDescent="0.3">
      <c r="B395" s="101"/>
      <c r="C395" s="102" t="s">
        <v>431</v>
      </c>
      <c r="D395" s="103"/>
      <c r="E395" s="103"/>
      <c r="F395" s="97"/>
      <c r="G395" s="104" t="s">
        <v>22</v>
      </c>
      <c r="H395" s="114">
        <f t="shared" si="37"/>
        <v>14.5</v>
      </c>
      <c r="I395" s="104" t="s">
        <v>11</v>
      </c>
      <c r="J395" s="97"/>
      <c r="K395" s="104" t="s">
        <v>22</v>
      </c>
      <c r="L395" s="114">
        <f t="shared" si="38"/>
        <v>14.5</v>
      </c>
      <c r="M395" s="104" t="s">
        <v>11</v>
      </c>
    </row>
    <row r="396" spans="1:26" x14ac:dyDescent="0.25">
      <c r="B396" s="264"/>
      <c r="C396" s="265" t="s">
        <v>196</v>
      </c>
      <c r="D396" s="266"/>
      <c r="E396" s="266"/>
      <c r="F396" s="267">
        <f>SUM(F382:F386)+SUM(F388:F395)</f>
        <v>162</v>
      </c>
      <c r="G396" s="264" t="s">
        <v>22</v>
      </c>
      <c r="H396" s="268">
        <f>F396*H168+F387*H387</f>
        <v>2349</v>
      </c>
      <c r="I396" s="264" t="s">
        <v>14</v>
      </c>
      <c r="J396" s="269">
        <f>SUM(J382:J386,J388:J395)</f>
        <v>50</v>
      </c>
      <c r="K396" s="264" t="s">
        <v>22</v>
      </c>
      <c r="L396" s="268">
        <f>J396*L168+J387*L387</f>
        <v>21225</v>
      </c>
      <c r="M396" s="264" t="s">
        <v>14</v>
      </c>
    </row>
    <row r="397" spans="1:26" s="8" customFormat="1" ht="13.8" thickBot="1" x14ac:dyDescent="0.3">
      <c r="A397" s="369"/>
      <c r="B397" s="534"/>
      <c r="C397" s="534"/>
      <c r="D397" s="534"/>
      <c r="E397" s="534"/>
      <c r="F397" s="534"/>
      <c r="G397" s="534"/>
      <c r="H397" s="534"/>
      <c r="I397" s="534"/>
      <c r="J397" s="534"/>
      <c r="K397" s="534"/>
      <c r="L397" s="534"/>
      <c r="M397" s="534"/>
      <c r="N397"/>
      <c r="O397"/>
      <c r="P397"/>
      <c r="Q397"/>
      <c r="R397"/>
      <c r="S397"/>
      <c r="T397"/>
      <c r="U397"/>
      <c r="Y397"/>
      <c r="Z397"/>
    </row>
    <row r="398" spans="1:26" ht="58.05" customHeight="1" thickBot="1" x14ac:dyDescent="0.45">
      <c r="B398" s="953" t="s">
        <v>395</v>
      </c>
      <c r="C398" s="954"/>
      <c r="D398" s="954"/>
      <c r="E398" s="955"/>
      <c r="F398" s="534"/>
      <c r="G398" s="534"/>
      <c r="H398" s="534"/>
      <c r="I398" s="534"/>
      <c r="J398" s="983" t="s">
        <v>271</v>
      </c>
      <c r="K398" s="983"/>
      <c r="L398" s="983"/>
      <c r="M398" s="534"/>
      <c r="N398" s="8"/>
      <c r="O398" s="8"/>
      <c r="P398" s="8"/>
      <c r="Q398" s="8"/>
      <c r="R398" s="8"/>
      <c r="S398" s="8"/>
      <c r="T398" s="8"/>
      <c r="U398" s="8"/>
      <c r="Y398" s="8"/>
      <c r="Z398" s="8"/>
    </row>
    <row r="399" spans="1:26" x14ac:dyDescent="0.25">
      <c r="B399" s="534"/>
      <c r="C399" s="534"/>
      <c r="D399" s="534"/>
      <c r="E399" s="534"/>
      <c r="F399" s="534"/>
      <c r="G399" s="534"/>
      <c r="H399" s="534"/>
      <c r="I399" s="534"/>
      <c r="J399" s="534"/>
      <c r="K399" s="534"/>
      <c r="L399" s="534"/>
      <c r="M399" s="534"/>
    </row>
    <row r="400" spans="1:26" ht="15" x14ac:dyDescent="0.25">
      <c r="B400" s="974" t="s">
        <v>43</v>
      </c>
      <c r="C400" s="974"/>
      <c r="D400" s="974"/>
      <c r="E400" s="974"/>
      <c r="F400" s="974"/>
      <c r="G400" s="974"/>
      <c r="H400" s="974"/>
      <c r="I400" s="974"/>
      <c r="J400" s="974"/>
      <c r="K400" s="974"/>
      <c r="L400" s="974"/>
      <c r="M400" s="974"/>
    </row>
    <row r="401" spans="1:26" s="91" customFormat="1" ht="49.95" customHeight="1" x14ac:dyDescent="0.25">
      <c r="A401" s="371"/>
      <c r="B401" s="534"/>
      <c r="C401" s="534"/>
      <c r="D401" s="534"/>
      <c r="E401" s="534"/>
      <c r="F401" s="534"/>
      <c r="G401" s="534"/>
      <c r="H401" s="534"/>
      <c r="I401" s="534"/>
      <c r="J401" s="534"/>
      <c r="K401" s="534"/>
      <c r="L401" s="534"/>
      <c r="M401" s="534"/>
      <c r="N401"/>
      <c r="O401"/>
      <c r="P401"/>
      <c r="Q401"/>
      <c r="R401"/>
      <c r="S401"/>
      <c r="T401"/>
      <c r="U401"/>
      <c r="Y401"/>
      <c r="Z401"/>
    </row>
    <row r="402" spans="1:26" ht="31.05" customHeight="1" x14ac:dyDescent="0.3">
      <c r="B402" s="109" t="s">
        <v>518</v>
      </c>
      <c r="C402" s="72"/>
      <c r="D402" s="72"/>
      <c r="E402" s="72"/>
      <c r="F402" s="957" t="s">
        <v>159</v>
      </c>
      <c r="G402" s="957"/>
      <c r="H402" s="958" t="s">
        <v>158</v>
      </c>
      <c r="I402" s="958"/>
      <c r="J402" s="957" t="s">
        <v>324</v>
      </c>
      <c r="K402" s="957"/>
      <c r="L402" s="79"/>
      <c r="M402" s="79"/>
      <c r="N402" s="91"/>
      <c r="O402" s="91"/>
      <c r="P402" s="91"/>
      <c r="Q402" s="91"/>
      <c r="R402" s="91"/>
      <c r="S402" s="91"/>
      <c r="T402" s="91"/>
      <c r="U402" s="91"/>
      <c r="Y402" s="91"/>
      <c r="Z402" s="91"/>
    </row>
    <row r="403" spans="1:26" ht="15.6" x14ac:dyDescent="0.3">
      <c r="B403" s="109"/>
      <c r="C403" s="72"/>
      <c r="D403" s="462" t="s">
        <v>364</v>
      </c>
      <c r="E403" s="72"/>
      <c r="F403" s="478"/>
      <c r="G403" s="478"/>
      <c r="H403" s="475"/>
      <c r="I403" s="475"/>
      <c r="J403" s="478"/>
      <c r="K403" s="478"/>
      <c r="L403" s="79"/>
      <c r="M403" s="79"/>
    </row>
    <row r="404" spans="1:26" ht="13.8" thickBot="1" x14ac:dyDescent="0.3">
      <c r="B404" s="214" t="s">
        <v>357</v>
      </c>
      <c r="C404" s="72"/>
      <c r="D404" s="72"/>
      <c r="E404" s="72"/>
      <c r="F404" s="74"/>
      <c r="G404" s="74"/>
      <c r="H404" s="73"/>
      <c r="I404" s="73"/>
      <c r="J404" s="79"/>
      <c r="K404" s="79"/>
      <c r="L404" s="79"/>
      <c r="M404" s="79"/>
    </row>
    <row r="405" spans="1:26" ht="13.8" thickBot="1" x14ac:dyDescent="0.3">
      <c r="B405" s="72"/>
      <c r="C405" s="72" t="s">
        <v>413</v>
      </c>
      <c r="D405" s="79"/>
      <c r="E405" s="72"/>
      <c r="F405" s="119">
        <v>3.3</v>
      </c>
      <c r="G405" s="74" t="s">
        <v>20</v>
      </c>
      <c r="H405" s="99">
        <v>16.8</v>
      </c>
      <c r="I405" s="73" t="s">
        <v>5</v>
      </c>
      <c r="J405" s="79">
        <f>F405*H405</f>
        <v>55.44</v>
      </c>
      <c r="K405" s="72" t="s">
        <v>14</v>
      </c>
      <c r="L405" s="79"/>
      <c r="M405" s="79"/>
    </row>
    <row r="406" spans="1:26" ht="13.8" thickBot="1" x14ac:dyDescent="0.3">
      <c r="B406" s="72"/>
      <c r="C406" s="72" t="s">
        <v>326</v>
      </c>
      <c r="D406" s="72"/>
      <c r="E406" s="72"/>
      <c r="F406" s="119"/>
      <c r="G406" s="74" t="s">
        <v>20</v>
      </c>
      <c r="H406" s="99"/>
      <c r="I406" s="73" t="s">
        <v>5</v>
      </c>
      <c r="J406" s="79">
        <f t="shared" ref="J406:J407" si="39">F406*H406</f>
        <v>0</v>
      </c>
      <c r="K406" s="72" t="s">
        <v>14</v>
      </c>
      <c r="L406" s="79"/>
      <c r="M406" s="79"/>
    </row>
    <row r="407" spans="1:26" ht="13.8" thickBot="1" x14ac:dyDescent="0.3">
      <c r="B407" s="72"/>
      <c r="C407" s="72" t="s">
        <v>326</v>
      </c>
      <c r="D407" s="72"/>
      <c r="E407" s="72"/>
      <c r="F407" s="119"/>
      <c r="G407" s="74" t="s">
        <v>20</v>
      </c>
      <c r="H407" s="99"/>
      <c r="I407" s="73" t="s">
        <v>5</v>
      </c>
      <c r="J407" s="79">
        <f t="shared" si="39"/>
        <v>0</v>
      </c>
      <c r="K407" s="72" t="s">
        <v>14</v>
      </c>
      <c r="L407" s="79"/>
      <c r="M407" s="79"/>
    </row>
    <row r="408" spans="1:26" x14ac:dyDescent="0.25">
      <c r="B408" s="72"/>
      <c r="C408" s="72"/>
      <c r="D408" s="72"/>
      <c r="E408" s="72"/>
      <c r="F408" s="212"/>
      <c r="G408" s="74"/>
      <c r="H408" s="213"/>
      <c r="I408" s="73"/>
      <c r="J408" s="79"/>
      <c r="K408" s="72"/>
      <c r="L408" s="79"/>
      <c r="M408" s="79"/>
    </row>
    <row r="409" spans="1:26" ht="13.8" thickBot="1" x14ac:dyDescent="0.3">
      <c r="B409" s="214" t="s">
        <v>358</v>
      </c>
      <c r="C409" s="72"/>
      <c r="D409" s="72"/>
      <c r="E409" s="72"/>
      <c r="F409" s="212"/>
      <c r="G409" s="74"/>
      <c r="H409" s="213"/>
      <c r="I409" s="73"/>
      <c r="J409" s="79"/>
      <c r="K409" s="72"/>
      <c r="L409" s="79"/>
      <c r="M409" s="79"/>
    </row>
    <row r="410" spans="1:26" ht="13.8" thickBot="1" x14ac:dyDescent="0.3">
      <c r="B410" s="72"/>
      <c r="C410" s="72" t="s">
        <v>326</v>
      </c>
      <c r="D410" s="72"/>
      <c r="E410" s="72"/>
      <c r="F410" s="119"/>
      <c r="G410" s="74"/>
      <c r="H410" s="119"/>
      <c r="I410" s="73"/>
      <c r="J410" s="79"/>
      <c r="K410" s="72" t="s">
        <v>14</v>
      </c>
      <c r="L410" s="79"/>
      <c r="M410" s="79"/>
    </row>
    <row r="411" spans="1:26" ht="13.8" thickBot="1" x14ac:dyDescent="0.3">
      <c r="B411" s="72"/>
      <c r="C411" s="72" t="s">
        <v>326</v>
      </c>
      <c r="D411" s="72"/>
      <c r="E411" s="72"/>
      <c r="F411" s="119"/>
      <c r="G411" s="74"/>
      <c r="H411" s="119"/>
      <c r="I411" s="73"/>
      <c r="J411" s="79"/>
      <c r="K411" s="72" t="s">
        <v>14</v>
      </c>
      <c r="L411" s="79"/>
      <c r="M411" s="79"/>
    </row>
    <row r="412" spans="1:26" ht="13.8" thickBot="1" x14ac:dyDescent="0.3">
      <c r="B412" s="72"/>
      <c r="C412" s="72" t="s">
        <v>326</v>
      </c>
      <c r="D412" s="72"/>
      <c r="E412" s="72"/>
      <c r="F412" s="119"/>
      <c r="G412" s="74"/>
      <c r="H412" s="119"/>
      <c r="I412" s="73"/>
      <c r="J412" s="79"/>
      <c r="K412" s="72" t="s">
        <v>14</v>
      </c>
      <c r="L412" s="79"/>
      <c r="M412" s="79"/>
    </row>
    <row r="413" spans="1:26" x14ac:dyDescent="0.25">
      <c r="B413" s="241"/>
      <c r="C413" s="241" t="s">
        <v>196</v>
      </c>
      <c r="D413" s="241"/>
      <c r="E413" s="241"/>
      <c r="F413" s="273"/>
      <c r="G413" s="242"/>
      <c r="H413" s="273"/>
      <c r="I413" s="243"/>
      <c r="J413" s="241">
        <f>SUM(J405:J412)</f>
        <v>55.44</v>
      </c>
      <c r="K413" s="241" t="s">
        <v>14</v>
      </c>
      <c r="L413" s="241"/>
      <c r="M413" s="241"/>
    </row>
    <row r="414" spans="1:26" s="8" customFormat="1" x14ac:dyDescent="0.25">
      <c r="A414" s="369"/>
      <c r="B414" s="72"/>
      <c r="C414" s="72"/>
      <c r="D414" s="75"/>
      <c r="E414" s="72"/>
      <c r="F414" s="72"/>
      <c r="G414" s="74"/>
      <c r="H414" s="73"/>
      <c r="I414" s="73"/>
      <c r="J414" s="73"/>
      <c r="K414" s="79"/>
      <c r="L414" s="79"/>
      <c r="M414" s="79"/>
      <c r="N414"/>
      <c r="O414"/>
      <c r="P414"/>
      <c r="Q414"/>
      <c r="R414"/>
      <c r="S414"/>
      <c r="T414"/>
      <c r="U414"/>
      <c r="Y414"/>
      <c r="Z414"/>
    </row>
    <row r="415" spans="1:26" x14ac:dyDescent="0.25">
      <c r="A415" s="374"/>
      <c r="B415" s="535"/>
      <c r="C415" s="535"/>
      <c r="D415" s="547"/>
      <c r="E415" s="535"/>
      <c r="F415" s="535"/>
      <c r="G415" s="539"/>
      <c r="H415" s="537"/>
      <c r="I415" s="537"/>
      <c r="J415" s="537"/>
      <c r="K415" s="534"/>
      <c r="L415" s="534"/>
      <c r="M415" s="534"/>
      <c r="N415" s="8"/>
      <c r="O415" s="8"/>
      <c r="P415" s="8"/>
      <c r="Q415" s="8"/>
      <c r="R415" s="8"/>
      <c r="S415" s="8"/>
      <c r="T415" s="8"/>
      <c r="U415" s="8"/>
      <c r="Y415" s="8"/>
      <c r="Z415" s="8"/>
    </row>
    <row r="416" spans="1:26" s="5" customFormat="1" ht="28.05" customHeight="1" x14ac:dyDescent="0.3">
      <c r="A416" s="374"/>
      <c r="B416" s="219" t="s">
        <v>461</v>
      </c>
      <c r="C416" s="220"/>
      <c r="D416" s="220"/>
      <c r="E416" s="220"/>
      <c r="F416" s="964" t="s">
        <v>159</v>
      </c>
      <c r="G416" s="964"/>
      <c r="H416" s="964" t="s">
        <v>158</v>
      </c>
      <c r="I416" s="964"/>
      <c r="J416" s="964" t="s">
        <v>324</v>
      </c>
      <c r="K416" s="964"/>
      <c r="L416" s="222"/>
      <c r="M416" s="222"/>
      <c r="P416"/>
      <c r="Q416"/>
      <c r="R416"/>
      <c r="S416"/>
      <c r="T416"/>
      <c r="U416"/>
      <c r="Y416"/>
      <c r="Z416"/>
    </row>
    <row r="417" spans="1:26" ht="13.8" thickBot="1" x14ac:dyDescent="0.3">
      <c r="B417" s="220"/>
      <c r="C417" s="220"/>
      <c r="D417" s="220"/>
      <c r="E417" s="220"/>
      <c r="F417" s="220"/>
      <c r="G417" s="220"/>
      <c r="H417" s="221"/>
      <c r="I417" s="221"/>
      <c r="J417" s="222"/>
      <c r="K417" s="222"/>
      <c r="L417" s="222"/>
      <c r="M417" s="222"/>
      <c r="N417" s="5"/>
      <c r="O417" s="5"/>
      <c r="P417" s="5"/>
      <c r="Q417" s="5"/>
      <c r="R417" s="5"/>
      <c r="S417" s="5"/>
      <c r="T417" s="5"/>
      <c r="U417" s="5"/>
      <c r="Y417" s="5"/>
      <c r="Z417" s="5"/>
    </row>
    <row r="418" spans="1:26" ht="13.8" thickBot="1" x14ac:dyDescent="0.3">
      <c r="B418" s="220"/>
      <c r="C418" s="220" t="s">
        <v>519</v>
      </c>
      <c r="D418" s="222"/>
      <c r="E418" s="220"/>
      <c r="F418" s="96">
        <v>2</v>
      </c>
      <c r="G418" s="220" t="s">
        <v>0</v>
      </c>
      <c r="H418" s="99">
        <v>62</v>
      </c>
      <c r="I418" s="221" t="s">
        <v>11</v>
      </c>
      <c r="J418" s="223">
        <f t="shared" ref="J418:J420" si="40">F418*H418</f>
        <v>124</v>
      </c>
      <c r="K418" s="220" t="s">
        <v>14</v>
      </c>
      <c r="L418" s="222"/>
      <c r="M418" s="222"/>
    </row>
    <row r="419" spans="1:26" ht="13.8" thickBot="1" x14ac:dyDescent="0.3">
      <c r="B419" s="220"/>
      <c r="C419" s="220" t="s">
        <v>294</v>
      </c>
      <c r="D419" s="220"/>
      <c r="E419" s="220"/>
      <c r="F419" s="96"/>
      <c r="G419" s="220" t="s">
        <v>0</v>
      </c>
      <c r="H419" s="99"/>
      <c r="I419" s="221" t="s">
        <v>14</v>
      </c>
      <c r="J419" s="223">
        <f t="shared" si="40"/>
        <v>0</v>
      </c>
      <c r="K419" s="220" t="s">
        <v>14</v>
      </c>
      <c r="L419" s="222"/>
      <c r="M419" s="222"/>
    </row>
    <row r="420" spans="1:26" ht="13.8" thickBot="1" x14ac:dyDescent="0.3">
      <c r="B420" s="220"/>
      <c r="C420" s="220" t="s">
        <v>294</v>
      </c>
      <c r="D420" s="220"/>
      <c r="E420" s="220"/>
      <c r="F420" s="96"/>
      <c r="G420" s="220" t="s">
        <v>0</v>
      </c>
      <c r="H420" s="99"/>
      <c r="I420" s="221" t="s">
        <v>14</v>
      </c>
      <c r="J420" s="223">
        <f t="shared" si="40"/>
        <v>0</v>
      </c>
      <c r="K420" s="220" t="s">
        <v>14</v>
      </c>
      <c r="L420" s="222"/>
      <c r="M420" s="222"/>
    </row>
    <row r="421" spans="1:26" x14ac:dyDescent="0.25">
      <c r="B421" s="255"/>
      <c r="C421" s="255" t="s">
        <v>196</v>
      </c>
      <c r="D421" s="255"/>
      <c r="E421" s="255"/>
      <c r="F421" s="256"/>
      <c r="G421" s="255"/>
      <c r="H421" s="257"/>
      <c r="I421" s="258"/>
      <c r="J421" s="259">
        <f>SUM(J418:J420)</f>
        <v>124</v>
      </c>
      <c r="K421" s="255" t="s">
        <v>14</v>
      </c>
      <c r="L421" s="255"/>
      <c r="M421" s="255"/>
    </row>
    <row r="422" spans="1:26" s="8" customFormat="1" x14ac:dyDescent="0.25">
      <c r="A422" s="369"/>
      <c r="B422" s="220"/>
      <c r="C422" s="220"/>
      <c r="D422" s="220"/>
      <c r="E422" s="220"/>
      <c r="F422" s="220"/>
      <c r="G422" s="220"/>
      <c r="H422" s="221"/>
      <c r="I422" s="221"/>
      <c r="J422" s="223"/>
      <c r="K422" s="220"/>
      <c r="L422" s="222"/>
      <c r="M422" s="222"/>
      <c r="N422"/>
      <c r="O422"/>
      <c r="P422"/>
      <c r="Q422"/>
      <c r="R422"/>
      <c r="S422"/>
      <c r="T422"/>
      <c r="U422"/>
      <c r="Y422"/>
      <c r="Z422"/>
    </row>
    <row r="423" spans="1:26" x14ac:dyDescent="0.25">
      <c r="N423" s="8"/>
      <c r="O423" s="8"/>
      <c r="P423" s="8"/>
      <c r="Q423" s="8"/>
      <c r="R423" s="8"/>
      <c r="S423" s="8"/>
      <c r="T423" s="8"/>
      <c r="U423" s="8"/>
      <c r="Y423" s="8"/>
      <c r="Z423" s="8"/>
    </row>
    <row r="424" spans="1:26" ht="33" customHeight="1" x14ac:dyDescent="0.3">
      <c r="B424" s="225" t="s">
        <v>462</v>
      </c>
      <c r="C424" s="226"/>
      <c r="D424" s="226"/>
      <c r="E424" s="227"/>
      <c r="F424" s="226" t="s">
        <v>159</v>
      </c>
      <c r="G424" s="228"/>
      <c r="H424" s="228" t="s">
        <v>158</v>
      </c>
      <c r="I424" s="226"/>
      <c r="J424" s="226" t="s">
        <v>324</v>
      </c>
      <c r="K424" s="229"/>
      <c r="L424" s="229"/>
      <c r="M424" s="229"/>
    </row>
    <row r="425" spans="1:26" ht="16.2" thickBot="1" x14ac:dyDescent="0.35">
      <c r="B425" s="225"/>
      <c r="C425" s="226"/>
      <c r="D425" s="226"/>
      <c r="E425" s="227"/>
      <c r="F425" s="226"/>
      <c r="G425" s="228"/>
      <c r="H425" s="228"/>
      <c r="I425" s="226"/>
      <c r="J425" s="226"/>
      <c r="K425" s="229"/>
      <c r="L425" s="229"/>
      <c r="M425" s="229"/>
    </row>
    <row r="426" spans="1:26" ht="13.8" thickBot="1" x14ac:dyDescent="0.3">
      <c r="B426" s="226"/>
      <c r="C426" s="226" t="s">
        <v>463</v>
      </c>
      <c r="D426" s="229"/>
      <c r="E426" s="230"/>
      <c r="F426" s="96"/>
      <c r="G426" s="231" t="s">
        <v>18</v>
      </c>
      <c r="H426" s="96"/>
      <c r="I426" s="232" t="s">
        <v>10</v>
      </c>
      <c r="J426" s="229">
        <f>H426*F426</f>
        <v>0</v>
      </c>
      <c r="K426" s="232" t="s">
        <v>14</v>
      </c>
      <c r="L426" s="229"/>
      <c r="M426" s="229"/>
    </row>
    <row r="427" spans="1:26" ht="13.8" thickBot="1" x14ac:dyDescent="0.3">
      <c r="B427" s="226"/>
      <c r="C427" s="226" t="s">
        <v>450</v>
      </c>
      <c r="D427" s="232">
        <f>F446/2</f>
        <v>1</v>
      </c>
      <c r="E427" s="226" t="s">
        <v>9</v>
      </c>
      <c r="F427" s="96">
        <f>+D427*8</f>
        <v>8</v>
      </c>
      <c r="G427" s="228" t="s">
        <v>20</v>
      </c>
      <c r="H427" s="96">
        <v>0.83</v>
      </c>
      <c r="I427" s="232" t="s">
        <v>5</v>
      </c>
      <c r="J427" s="229">
        <f>H427*F427</f>
        <v>6.64</v>
      </c>
      <c r="K427" s="232" t="s">
        <v>14</v>
      </c>
      <c r="L427" s="229"/>
      <c r="M427" s="229"/>
    </row>
    <row r="428" spans="1:26" ht="13.8" thickBot="1" x14ac:dyDescent="0.3">
      <c r="B428" s="226"/>
      <c r="C428" s="226" t="s">
        <v>298</v>
      </c>
      <c r="D428" s="232">
        <f>D427</f>
        <v>1</v>
      </c>
      <c r="E428" s="226" t="s">
        <v>9</v>
      </c>
      <c r="F428" s="96">
        <v>11.88</v>
      </c>
      <c r="G428" s="228" t="s">
        <v>21</v>
      </c>
      <c r="H428" s="96">
        <v>4</v>
      </c>
      <c r="I428" s="232" t="s">
        <v>6</v>
      </c>
      <c r="J428" s="229">
        <f t="shared" ref="J428:J432" si="41">H428*F428</f>
        <v>47.52</v>
      </c>
      <c r="K428" s="232" t="s">
        <v>14</v>
      </c>
      <c r="L428" s="229"/>
      <c r="M428" s="229"/>
    </row>
    <row r="429" spans="1:26" ht="13.8" thickBot="1" x14ac:dyDescent="0.3">
      <c r="B429" s="226"/>
      <c r="C429" s="226" t="s">
        <v>19</v>
      </c>
      <c r="D429" s="229"/>
      <c r="E429" s="232"/>
      <c r="F429" s="96"/>
      <c r="G429" s="228" t="s">
        <v>20</v>
      </c>
      <c r="H429" s="96">
        <v>1.53</v>
      </c>
      <c r="I429" s="232" t="s">
        <v>5</v>
      </c>
      <c r="J429" s="229">
        <f t="shared" si="41"/>
        <v>0</v>
      </c>
      <c r="K429" s="232" t="s">
        <v>14</v>
      </c>
      <c r="L429" s="229"/>
      <c r="M429" s="229"/>
    </row>
    <row r="430" spans="1:26" ht="13.8" thickBot="1" x14ac:dyDescent="0.3">
      <c r="B430" s="226"/>
      <c r="C430" s="226" t="s">
        <v>299</v>
      </c>
      <c r="D430" s="229"/>
      <c r="E430" s="232"/>
      <c r="F430" s="96"/>
      <c r="G430" s="228" t="s">
        <v>20</v>
      </c>
      <c r="H430" s="96">
        <v>1.6</v>
      </c>
      <c r="I430" s="232" t="s">
        <v>5</v>
      </c>
      <c r="J430" s="229">
        <f t="shared" si="41"/>
        <v>0</v>
      </c>
      <c r="K430" s="232" t="s">
        <v>14</v>
      </c>
      <c r="L430" s="229"/>
      <c r="M430" s="229"/>
    </row>
    <row r="431" spans="1:26" ht="13.8" thickBot="1" x14ac:dyDescent="0.3">
      <c r="B431" s="226"/>
      <c r="C431" s="226" t="s">
        <v>300</v>
      </c>
      <c r="D431" s="229"/>
      <c r="E431" s="232"/>
      <c r="F431" s="96"/>
      <c r="G431" s="228"/>
      <c r="H431" s="96"/>
      <c r="I431" s="232"/>
      <c r="J431" s="229">
        <f t="shared" si="41"/>
        <v>0</v>
      </c>
      <c r="K431" s="232" t="s">
        <v>14</v>
      </c>
      <c r="L431" s="229"/>
      <c r="M431" s="229"/>
    </row>
    <row r="432" spans="1:26" ht="13.8" thickBot="1" x14ac:dyDescent="0.3">
      <c r="B432" s="229"/>
      <c r="C432" s="226" t="s">
        <v>300</v>
      </c>
      <c r="D432" s="229"/>
      <c r="E432" s="229"/>
      <c r="F432" s="96"/>
      <c r="G432" s="229"/>
      <c r="H432" s="96"/>
      <c r="I432" s="229"/>
      <c r="J432" s="229">
        <f t="shared" si="41"/>
        <v>0</v>
      </c>
      <c r="K432" s="232" t="s">
        <v>14</v>
      </c>
      <c r="L432" s="229"/>
      <c r="M432" s="229"/>
    </row>
    <row r="433" spans="1:26" x14ac:dyDescent="0.25">
      <c r="B433" s="260"/>
      <c r="C433" s="260" t="s">
        <v>196</v>
      </c>
      <c r="D433" s="260"/>
      <c r="E433" s="260"/>
      <c r="F433" s="261"/>
      <c r="G433" s="260"/>
      <c r="H433" s="261"/>
      <c r="I433" s="260"/>
      <c r="J433" s="260">
        <f>SUM(J426:J432)</f>
        <v>54.160000000000004</v>
      </c>
      <c r="K433" s="262" t="s">
        <v>14</v>
      </c>
      <c r="L433" s="260"/>
      <c r="M433" s="260"/>
    </row>
    <row r="434" spans="1:26" s="8" customFormat="1" x14ac:dyDescent="0.25">
      <c r="A434" s="369"/>
      <c r="B434" s="229"/>
      <c r="C434" s="229"/>
      <c r="D434" s="229"/>
      <c r="E434" s="229"/>
      <c r="F434" s="229"/>
      <c r="G434" s="229"/>
      <c r="H434" s="229"/>
      <c r="I434" s="229"/>
      <c r="J434" s="229"/>
      <c r="K434" s="229"/>
      <c r="L434" s="229"/>
      <c r="M434" s="229"/>
      <c r="N434"/>
      <c r="O434"/>
      <c r="P434"/>
      <c r="Q434"/>
      <c r="R434"/>
      <c r="S434"/>
      <c r="T434"/>
      <c r="U434"/>
      <c r="Y434"/>
      <c r="Z434"/>
    </row>
    <row r="435" spans="1:26" x14ac:dyDescent="0.25">
      <c r="N435" s="8"/>
      <c r="O435" s="8"/>
      <c r="P435" s="8"/>
      <c r="Q435" s="8"/>
      <c r="R435" s="8"/>
      <c r="S435" s="8"/>
      <c r="T435" s="8"/>
      <c r="U435" s="8"/>
      <c r="Y435" s="8"/>
      <c r="Z435" s="8"/>
    </row>
    <row r="436" spans="1:26" ht="40.049999999999997" customHeight="1" x14ac:dyDescent="0.3">
      <c r="B436" s="112" t="s">
        <v>520</v>
      </c>
      <c r="C436" s="101"/>
      <c r="D436" s="101"/>
      <c r="E436" s="101"/>
      <c r="F436" s="101"/>
      <c r="G436" s="101"/>
      <c r="H436" s="101"/>
      <c r="I436" s="101"/>
      <c r="J436" s="101"/>
      <c r="K436" s="101"/>
      <c r="L436" s="101"/>
      <c r="M436" s="101"/>
    </row>
    <row r="437" spans="1:26" ht="15.6" x14ac:dyDescent="0.3">
      <c r="B437" s="112"/>
      <c r="C437" s="101"/>
      <c r="D437" s="101"/>
      <c r="E437" s="101"/>
      <c r="F437" s="101"/>
      <c r="G437" s="101"/>
      <c r="H437" s="101"/>
      <c r="I437" s="101"/>
      <c r="J437" s="101"/>
      <c r="K437" s="101"/>
      <c r="L437" s="101"/>
      <c r="M437" s="101"/>
    </row>
    <row r="438" spans="1:26" ht="30" customHeight="1" x14ac:dyDescent="0.25">
      <c r="B438" s="961" t="s">
        <v>302</v>
      </c>
      <c r="C438" s="961"/>
      <c r="D438" s="961"/>
      <c r="E438" s="961"/>
      <c r="F438" s="961"/>
      <c r="G438" s="961"/>
      <c r="H438" s="961"/>
      <c r="I438" s="961"/>
      <c r="J438" s="961"/>
      <c r="K438" s="961"/>
      <c r="L438" s="961"/>
      <c r="M438" s="961"/>
    </row>
    <row r="439" spans="1:26" ht="37.950000000000003" customHeight="1" x14ac:dyDescent="0.3">
      <c r="B439" s="112"/>
      <c r="C439" s="101"/>
      <c r="D439" s="101"/>
      <c r="E439" s="834"/>
      <c r="F439" s="834"/>
      <c r="G439" s="834"/>
      <c r="H439" s="835"/>
      <c r="I439" s="835"/>
      <c r="J439" s="834"/>
      <c r="K439" s="834"/>
      <c r="L439" s="835"/>
      <c r="M439" s="835"/>
    </row>
    <row r="440" spans="1:26" ht="15.6" x14ac:dyDescent="0.3">
      <c r="B440" s="112"/>
      <c r="C440" s="101"/>
      <c r="D440" s="101"/>
      <c r="E440" s="962" t="s">
        <v>303</v>
      </c>
      <c r="F440" s="962"/>
      <c r="G440" s="962"/>
      <c r="H440" s="963" t="s">
        <v>158</v>
      </c>
      <c r="I440" s="963"/>
      <c r="J440" s="963" t="s">
        <v>304</v>
      </c>
      <c r="K440" s="963"/>
      <c r="L440" s="963" t="s">
        <v>158</v>
      </c>
      <c r="M440" s="963"/>
    </row>
    <row r="441" spans="1:26" ht="15.6" thickBot="1" x14ac:dyDescent="0.3">
      <c r="B441" s="100"/>
      <c r="C441" s="101"/>
      <c r="D441" s="101"/>
      <c r="E441" s="101"/>
      <c r="F441" s="101"/>
      <c r="G441" s="101"/>
      <c r="H441" s="101"/>
      <c r="I441" s="101"/>
      <c r="J441" s="101"/>
      <c r="K441" s="101"/>
      <c r="L441" s="101"/>
      <c r="M441" s="101"/>
    </row>
    <row r="442" spans="1:26" ht="13.8" thickBot="1" x14ac:dyDescent="0.3">
      <c r="B442" s="101"/>
      <c r="C442" s="102" t="s">
        <v>317</v>
      </c>
      <c r="D442" s="101"/>
      <c r="E442" s="101"/>
      <c r="F442" s="115">
        <v>2</v>
      </c>
      <c r="G442" s="104" t="s">
        <v>22</v>
      </c>
      <c r="H442" s="114">
        <f t="shared" ref="H442:H445" si="42">$H$168</f>
        <v>14.5</v>
      </c>
      <c r="I442" s="104" t="s">
        <v>11</v>
      </c>
      <c r="J442" s="116"/>
      <c r="K442" s="104" t="s">
        <v>22</v>
      </c>
      <c r="L442" s="114">
        <f t="shared" ref="L442:L445" si="43">$L$168</f>
        <v>14.5</v>
      </c>
      <c r="M442" s="104" t="s">
        <v>11</v>
      </c>
    </row>
    <row r="443" spans="1:26" ht="13.8" thickBot="1" x14ac:dyDescent="0.3">
      <c r="B443" s="101"/>
      <c r="C443" s="102" t="s">
        <v>431</v>
      </c>
      <c r="D443" s="101"/>
      <c r="E443" s="101"/>
      <c r="F443" s="116"/>
      <c r="G443" s="104" t="s">
        <v>22</v>
      </c>
      <c r="H443" s="114">
        <f t="shared" si="42"/>
        <v>14.5</v>
      </c>
      <c r="I443" s="104" t="s">
        <v>11</v>
      </c>
      <c r="J443" s="97"/>
      <c r="K443" s="104" t="s">
        <v>22</v>
      </c>
      <c r="L443" s="114">
        <f t="shared" si="43"/>
        <v>14.5</v>
      </c>
      <c r="M443" s="104" t="s">
        <v>11</v>
      </c>
    </row>
    <row r="444" spans="1:26" ht="13.8" thickBot="1" x14ac:dyDescent="0.3">
      <c r="B444" s="101"/>
      <c r="C444" s="102" t="s">
        <v>431</v>
      </c>
      <c r="D444" s="101"/>
      <c r="E444" s="101"/>
      <c r="F444" s="116"/>
      <c r="G444" s="104" t="s">
        <v>22</v>
      </c>
      <c r="H444" s="114">
        <f t="shared" si="42"/>
        <v>14.5</v>
      </c>
      <c r="I444" s="104" t="s">
        <v>11</v>
      </c>
      <c r="J444" s="97"/>
      <c r="K444" s="104" t="s">
        <v>22</v>
      </c>
      <c r="L444" s="114">
        <f t="shared" si="43"/>
        <v>14.5</v>
      </c>
      <c r="M444" s="104" t="s">
        <v>11</v>
      </c>
    </row>
    <row r="445" spans="1:26" ht="13.8" thickBot="1" x14ac:dyDescent="0.3">
      <c r="B445" s="101"/>
      <c r="C445" s="102" t="s">
        <v>431</v>
      </c>
      <c r="D445" s="103"/>
      <c r="E445" s="103"/>
      <c r="F445" s="97"/>
      <c r="G445" s="104" t="s">
        <v>22</v>
      </c>
      <c r="H445" s="114">
        <f t="shared" si="42"/>
        <v>14.5</v>
      </c>
      <c r="I445" s="104" t="s">
        <v>11</v>
      </c>
      <c r="J445" s="97"/>
      <c r="K445" s="104" t="s">
        <v>22</v>
      </c>
      <c r="L445" s="114">
        <f t="shared" si="43"/>
        <v>14.5</v>
      </c>
      <c r="M445" s="104" t="s">
        <v>11</v>
      </c>
    </row>
    <row r="446" spans="1:26" x14ac:dyDescent="0.25">
      <c r="B446" s="264"/>
      <c r="C446" s="265" t="s">
        <v>196</v>
      </c>
      <c r="D446" s="266"/>
      <c r="E446" s="266"/>
      <c r="F446" s="267">
        <f>SUM(F442:F445)</f>
        <v>2</v>
      </c>
      <c r="G446" s="264" t="s">
        <v>22</v>
      </c>
      <c r="H446" s="268">
        <f>F446*H168</f>
        <v>29</v>
      </c>
      <c r="I446" s="264" t="s">
        <v>14</v>
      </c>
      <c r="J446" s="269">
        <f>SUM(J442:J445)</f>
        <v>0</v>
      </c>
      <c r="K446" s="264" t="s">
        <v>22</v>
      </c>
      <c r="L446" s="268">
        <f>J446*L168</f>
        <v>0</v>
      </c>
      <c r="M446" s="264" t="s">
        <v>14</v>
      </c>
    </row>
    <row r="447" spans="1:26" s="8" customFormat="1" x14ac:dyDescent="0.25">
      <c r="A447" s="369"/>
      <c r="B447"/>
      <c r="C447"/>
      <c r="D447"/>
      <c r="E447"/>
      <c r="F447"/>
      <c r="G447"/>
      <c r="H447"/>
      <c r="I447"/>
      <c r="J447"/>
      <c r="K447"/>
      <c r="L447"/>
      <c r="M447"/>
      <c r="N447"/>
      <c r="O447"/>
      <c r="P447"/>
      <c r="Q447"/>
      <c r="R447"/>
      <c r="S447"/>
      <c r="T447"/>
      <c r="U447"/>
      <c r="Y447"/>
      <c r="Z447"/>
    </row>
    <row r="448" spans="1:26" x14ac:dyDescent="0.25">
      <c r="N448" s="8"/>
      <c r="O448" s="8"/>
      <c r="P448" s="8"/>
      <c r="Q448" s="8"/>
      <c r="R448" s="8"/>
      <c r="S448" s="8"/>
      <c r="T448" s="8"/>
      <c r="U448" s="8"/>
      <c r="Y448" s="8"/>
      <c r="Z448" s="8"/>
    </row>
  </sheetData>
  <mergeCells count="110">
    <mergeCell ref="F335:G335"/>
    <mergeCell ref="H335:I335"/>
    <mergeCell ref="J335:K335"/>
    <mergeCell ref="F416:G416"/>
    <mergeCell ref="H416:I416"/>
    <mergeCell ref="J416:K416"/>
    <mergeCell ref="F348:G348"/>
    <mergeCell ref="H348:I348"/>
    <mergeCell ref="J348:K348"/>
    <mergeCell ref="F356:G356"/>
    <mergeCell ref="H356:I356"/>
    <mergeCell ref="J356:K356"/>
    <mergeCell ref="B378:M378"/>
    <mergeCell ref="E380:G380"/>
    <mergeCell ref="H380:I380"/>
    <mergeCell ref="J380:K380"/>
    <mergeCell ref="L380:M380"/>
    <mergeCell ref="B398:E398"/>
    <mergeCell ref="J398:L398"/>
    <mergeCell ref="B298:E298"/>
    <mergeCell ref="F300:G300"/>
    <mergeCell ref="H300:I300"/>
    <mergeCell ref="J300:K300"/>
    <mergeCell ref="F309:G309"/>
    <mergeCell ref="H309:I309"/>
    <mergeCell ref="J309:K309"/>
    <mergeCell ref="F327:G327"/>
    <mergeCell ref="H327:I327"/>
    <mergeCell ref="J327:K327"/>
    <mergeCell ref="J298:L298"/>
    <mergeCell ref="T9:U9"/>
    <mergeCell ref="O18:Q18"/>
    <mergeCell ref="B23:D23"/>
    <mergeCell ref="B2:C2"/>
    <mergeCell ref="B4:L4"/>
    <mergeCell ref="B11:D11"/>
    <mergeCell ref="F254:G254"/>
    <mergeCell ref="H254:I254"/>
    <mergeCell ref="J254:K254"/>
    <mergeCell ref="B53:E53"/>
    <mergeCell ref="O9:Q9"/>
    <mergeCell ref="B98:D98"/>
    <mergeCell ref="B102:D102"/>
    <mergeCell ref="B104:E104"/>
    <mergeCell ref="J104:L104"/>
    <mergeCell ref="F106:G106"/>
    <mergeCell ref="H106:I106"/>
    <mergeCell ref="J106:K106"/>
    <mergeCell ref="C82:D82"/>
    <mergeCell ref="B84:D84"/>
    <mergeCell ref="B87:D87"/>
    <mergeCell ref="B90:D90"/>
    <mergeCell ref="F189:G189"/>
    <mergeCell ref="H189:I189"/>
    <mergeCell ref="J189:K189"/>
    <mergeCell ref="F200:G200"/>
    <mergeCell ref="H200:I200"/>
    <mergeCell ref="J200:K200"/>
    <mergeCell ref="B187:E187"/>
    <mergeCell ref="J187:L187"/>
    <mergeCell ref="B164:M164"/>
    <mergeCell ref="E166:G166"/>
    <mergeCell ref="H166:I166"/>
    <mergeCell ref="J166:K166"/>
    <mergeCell ref="L166:M166"/>
    <mergeCell ref="F117:G117"/>
    <mergeCell ref="H117:I117"/>
    <mergeCell ref="J117:K117"/>
    <mergeCell ref="B54:E54"/>
    <mergeCell ref="B55:D55"/>
    <mergeCell ref="B58:C58"/>
    <mergeCell ref="C61:D61"/>
    <mergeCell ref="B65:D65"/>
    <mergeCell ref="C68:D68"/>
    <mergeCell ref="B72:D72"/>
    <mergeCell ref="C75:D75"/>
    <mergeCell ref="B79:C79"/>
    <mergeCell ref="E440:G440"/>
    <mergeCell ref="H440:I440"/>
    <mergeCell ref="J440:K440"/>
    <mergeCell ref="L440:M440"/>
    <mergeCell ref="B100:D100"/>
    <mergeCell ref="B400:M400"/>
    <mergeCell ref="F402:G402"/>
    <mergeCell ref="H402:I402"/>
    <mergeCell ref="J402:K402"/>
    <mergeCell ref="B438:M438"/>
    <mergeCell ref="F128:G128"/>
    <mergeCell ref="H128:I128"/>
    <mergeCell ref="J128:K128"/>
    <mergeCell ref="F142:G142"/>
    <mergeCell ref="H142:I142"/>
    <mergeCell ref="J142:K142"/>
    <mergeCell ref="F209:G209"/>
    <mergeCell ref="H209:I209"/>
    <mergeCell ref="J209:K209"/>
    <mergeCell ref="B276:M276"/>
    <mergeCell ref="E278:G278"/>
    <mergeCell ref="H278:I278"/>
    <mergeCell ref="J278:K278"/>
    <mergeCell ref="L278:M278"/>
    <mergeCell ref="F223:G223"/>
    <mergeCell ref="H223:I223"/>
    <mergeCell ref="J223:K223"/>
    <mergeCell ref="F231:G231"/>
    <mergeCell ref="H231:I231"/>
    <mergeCell ref="J231:K231"/>
    <mergeCell ref="F245:G245"/>
    <mergeCell ref="H245:I245"/>
    <mergeCell ref="J245:K245"/>
  </mergeCells>
  <hyperlinks>
    <hyperlink ref="B2" location="Tilakokonaisuus!A1" display="PALAA ETUSIVULLE" xr:uid="{2960DCCB-6DF2-4B4D-A30E-8447734B6028}"/>
    <hyperlink ref="B2:C2" location="'Gårdens info'!A1" display="TILL FRAMSIDAN" xr:uid="{8636E81B-1902-E346-B5CC-83602E264FC7}"/>
    <hyperlink ref="B35" location="Pensasmustikka!B255" display="SATOVUOSIEN KUSTANNUKSET" xr:uid="{F9EABA52-E69E-3040-84DD-C4222D086481}"/>
    <hyperlink ref="B46" location="Pensasmustikka!B301" display="RAIVAUSVUODEN KUSTANNUKSET" xr:uid="{7EC59479-C8CA-F241-BBF8-6AB4F1ED147E}"/>
    <hyperlink ref="B87" location="'Avomaan mansikka'!B41" display="PERUSTAMISVUODEN KUSTANNUKSET" xr:uid="{810D452E-7056-DF4A-8A89-C872A4BD69EA}"/>
    <hyperlink ref="B87:D87" location="Äpple!B180" display="ETABLERINGSÅRETS KOSTNADER" xr:uid="{135A6A87-3020-CA41-B0EE-3F18629A2D0A}"/>
    <hyperlink ref="B53:E53" location="'Gårdens info'!B131" display="ALLMÄNNA KOSTNADER,äpplets andel" xr:uid="{8EC70883-EE1B-3A4F-8D8E-514A7764B0EA}"/>
    <hyperlink ref="B23" location="'Avomaan mansikka'!B41" display="PERUSTAMISVUODEN KUSTANNUKSET" xr:uid="{9C692594-BBB6-B34A-8CFD-F694C5A19BF4}"/>
    <hyperlink ref="B23:D23" location="Pensasmustikka!B185" display="ESIKASVATUSVUOSIEN KUSTANNUKSET" xr:uid="{3C95D280-FAAF-954D-8896-6910E6BCD6FA}"/>
    <hyperlink ref="B90" location="'Avomaan mansikka'!B41" display="PERUSTAMISVUODEN KUSTANNUKSET" xr:uid="{50ED17B7-F9CB-2C48-B5F0-7E7ED981DDA0}"/>
    <hyperlink ref="B90:D90" location="Äpple!B290" display="FÖRODLINGSÅRETS KOSTNADER" xr:uid="{4511125C-D170-4446-B4F6-6A16EB0159D5}"/>
    <hyperlink ref="B93" location="Äpple!B390" display="SKÖRDEÅRENS KOSTNADER" xr:uid="{78D06868-692E-F343-B7C7-591C528D3533}"/>
    <hyperlink ref="B96" location="Äpple!B446" display="RÖJNINGSÅRETS KOSTNADER" xr:uid="{E7B909FC-FB0C-F14E-9181-3CE19483258D}"/>
    <hyperlink ref="J398:L398" location="Äpple!A1" display="TILL SIDANS BÖRJAN" xr:uid="{39C85AAF-6294-6A4F-A830-46108B6B05F8}"/>
    <hyperlink ref="J104:L104" location="Äpple!A1" display="TILL SIDANS BÖRJAN" xr:uid="{A494F915-B8E5-6E41-8C34-224BBCD2A9D9}"/>
    <hyperlink ref="B58:C58" location="Ägendom!B15" display="BYGGNADER" xr:uid="{DB02E853-986E-4B10-BA0C-96DF522D8C96}"/>
    <hyperlink ref="B65:D65" location="Ägendom!B28" display="MASINER OCH UTRUSTNING" xr:uid="{F38C64E1-E306-48B1-BBCD-BD97F64C1CC9}"/>
    <hyperlink ref="B72:D72" location="Ägendom!B51" display="LÅNGVARIGA PRODUKTIONSMEDEL" xr:uid="{CB08B9B4-8661-4E30-ACC4-AB48E12500D9}"/>
    <hyperlink ref="B79:C79" location="Ägendom!B70" display="TÄCKDIKEN" xr:uid="{A9CCC99B-B9E5-4BFA-8F1A-C11C23F623B6}"/>
    <hyperlink ref="J298:L298" location="Äpple!A1" display="TILL SIDANS BÖRJAN" xr:uid="{16D80DB1-4B1C-4079-B202-EB12E502FD85}"/>
    <hyperlink ref="J187:L187" location="Äpple!A1" display="TILL SIDANS BÖRJAN" xr:uid="{C2628506-AF05-43DC-9EAD-11D786008DED}"/>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D66F3D-CE6B-FB4F-B77A-3BFD8E2D867E}">
  <dimension ref="A1:AE148"/>
  <sheetViews>
    <sheetView zoomScale="110" zoomScaleNormal="110" workbookViewId="0"/>
  </sheetViews>
  <sheetFormatPr defaultColWidth="11.44140625" defaultRowHeight="17.399999999999999" x14ac:dyDescent="0.3"/>
  <cols>
    <col min="1" max="1" width="7" customWidth="1"/>
    <col min="2" max="2" width="10.33203125" style="77" customWidth="1"/>
    <col min="3" max="3" width="43.33203125" customWidth="1"/>
    <col min="4" max="4" width="13.33203125" customWidth="1"/>
    <col min="5" max="5" width="6.44140625" customWidth="1"/>
    <col min="6" max="6" width="4.6640625" customWidth="1"/>
    <col min="7" max="7" width="13.77734375" customWidth="1"/>
    <col min="8" max="8" width="18.33203125" customWidth="1"/>
    <col min="9" max="9" width="8.6640625" customWidth="1"/>
    <col min="10" max="10" width="15.109375" customWidth="1"/>
    <col min="12" max="12" width="15.109375" customWidth="1"/>
    <col min="18" max="18" width="33" bestFit="1" customWidth="1"/>
    <col min="19" max="19" width="21" customWidth="1"/>
    <col min="21" max="21" width="15.77734375" customWidth="1"/>
    <col min="22" max="22" width="9" customWidth="1"/>
  </cols>
  <sheetData>
    <row r="1" spans="1:28" x14ac:dyDescent="0.3">
      <c r="A1" s="24" t="s">
        <v>338</v>
      </c>
    </row>
    <row r="2" spans="1:28" ht="24.6" x14ac:dyDescent="0.4">
      <c r="B2" s="144" t="s">
        <v>102</v>
      </c>
      <c r="C2" s="145"/>
      <c r="D2" s="145"/>
      <c r="E2" s="145"/>
      <c r="F2" s="145"/>
      <c r="G2" s="145"/>
      <c r="H2" s="145"/>
      <c r="I2" s="145"/>
      <c r="J2" s="145"/>
      <c r="K2" s="145"/>
      <c r="L2" s="145"/>
      <c r="M2" s="145"/>
      <c r="N2" s="146"/>
    </row>
    <row r="3" spans="1:28" x14ac:dyDescent="0.3">
      <c r="B3" s="147"/>
      <c r="C3" s="148"/>
      <c r="D3" s="148"/>
      <c r="E3" s="148"/>
      <c r="F3" s="148"/>
      <c r="G3" s="148"/>
      <c r="H3" s="148"/>
      <c r="I3" s="148"/>
      <c r="J3" s="148"/>
      <c r="K3" s="148"/>
      <c r="L3" s="148"/>
      <c r="M3" s="148"/>
      <c r="N3" s="149"/>
    </row>
    <row r="4" spans="1:28" ht="64.05" customHeight="1" x14ac:dyDescent="0.3">
      <c r="B4" s="892" t="s">
        <v>103</v>
      </c>
      <c r="C4" s="893"/>
      <c r="D4" s="893"/>
      <c r="E4" s="893"/>
      <c r="F4" s="893"/>
      <c r="G4" s="893"/>
      <c r="H4" s="893"/>
      <c r="I4" s="893"/>
      <c r="J4" s="893"/>
      <c r="K4" s="893"/>
      <c r="L4" s="762"/>
      <c r="M4" s="762"/>
      <c r="N4" s="763"/>
    </row>
    <row r="5" spans="1:28" x14ac:dyDescent="0.3">
      <c r="B5" s="147"/>
      <c r="C5" s="148"/>
      <c r="D5" s="148"/>
      <c r="E5" s="148"/>
      <c r="F5" s="148"/>
      <c r="G5" s="148"/>
      <c r="H5" s="148"/>
      <c r="I5" s="148"/>
      <c r="J5" s="148"/>
      <c r="K5" s="148"/>
      <c r="L5" s="148"/>
      <c r="M5" s="148"/>
      <c r="N5" s="149"/>
    </row>
    <row r="6" spans="1:28" x14ac:dyDescent="0.3">
      <c r="B6" s="147" t="s">
        <v>104</v>
      </c>
      <c r="C6" s="148"/>
      <c r="D6" s="148"/>
      <c r="E6" s="148"/>
      <c r="F6" s="148"/>
      <c r="G6" s="148"/>
      <c r="H6" s="148"/>
      <c r="I6" s="148"/>
      <c r="J6" s="148"/>
      <c r="K6" s="148"/>
      <c r="L6" s="148"/>
      <c r="M6" s="148"/>
      <c r="N6" s="149"/>
    </row>
    <row r="7" spans="1:28" x14ac:dyDescent="0.3">
      <c r="B7" s="147"/>
      <c r="C7" s="148"/>
      <c r="D7" s="148"/>
      <c r="E7" s="148"/>
      <c r="F7" s="148"/>
      <c r="G7" s="148"/>
      <c r="H7" s="148"/>
      <c r="I7" s="148"/>
      <c r="J7" s="148"/>
      <c r="K7" s="148"/>
      <c r="L7" s="148"/>
      <c r="M7" s="148"/>
      <c r="N7" s="149"/>
    </row>
    <row r="8" spans="1:28" x14ac:dyDescent="0.3">
      <c r="B8" s="147"/>
      <c r="C8" s="148"/>
      <c r="D8" s="534"/>
      <c r="E8" s="534"/>
      <c r="F8" s="534"/>
      <c r="G8" s="534"/>
      <c r="H8" s="534"/>
      <c r="I8" s="534"/>
      <c r="J8" s="534"/>
      <c r="K8" s="534"/>
      <c r="L8" s="534"/>
      <c r="N8" s="149"/>
    </row>
    <row r="9" spans="1:28" ht="25.95" customHeight="1" thickBot="1" x14ac:dyDescent="0.45">
      <c r="B9" s="433" t="s">
        <v>105</v>
      </c>
      <c r="C9" s="148"/>
      <c r="D9" s="903" t="s">
        <v>106</v>
      </c>
      <c r="E9" s="903"/>
      <c r="F9" s="150"/>
      <c r="G9" s="904" t="s">
        <v>107</v>
      </c>
      <c r="H9" s="904"/>
      <c r="I9" s="200"/>
      <c r="J9" s="148"/>
      <c r="K9" s="148"/>
      <c r="L9" s="148"/>
      <c r="M9" s="148"/>
      <c r="N9" s="149"/>
      <c r="P9" s="20"/>
      <c r="Q9" s="20"/>
    </row>
    <row r="10" spans="1:28" ht="18" thickBot="1" x14ac:dyDescent="0.35">
      <c r="B10" s="700" t="s">
        <v>108</v>
      </c>
      <c r="C10" s="482"/>
      <c r="D10" s="197">
        <v>1</v>
      </c>
      <c r="E10" s="153" t="s">
        <v>0</v>
      </c>
      <c r="F10" s="150"/>
      <c r="G10" s="334">
        <v>60000</v>
      </c>
      <c r="H10" s="153" t="s">
        <v>1</v>
      </c>
      <c r="I10" s="294"/>
      <c r="J10" s="153"/>
      <c r="K10" s="153"/>
      <c r="L10" s="153"/>
      <c r="M10" s="622"/>
      <c r="N10" s="623"/>
      <c r="P10" s="624" t="str">
        <f>IF(AND(F10=0, I10&gt;0),"HUOM! Satoa ei voi tulla, mikäli kokonaisala on 0 ha. Korjaathan sadon nollaksi!"," ")</f>
        <v xml:space="preserve"> </v>
      </c>
      <c r="Q10" s="624"/>
    </row>
    <row r="11" spans="1:28" ht="18" thickBot="1" x14ac:dyDescent="0.35">
      <c r="B11" s="701" t="s">
        <v>109</v>
      </c>
      <c r="C11" s="480"/>
      <c r="D11" s="198">
        <v>1</v>
      </c>
      <c r="E11" s="153" t="s">
        <v>0</v>
      </c>
      <c r="F11" s="150"/>
      <c r="G11" s="584">
        <v>55000</v>
      </c>
      <c r="H11" s="153" t="s">
        <v>1</v>
      </c>
      <c r="I11" s="294"/>
      <c r="J11" s="153"/>
      <c r="K11" s="153"/>
      <c r="L11" s="153"/>
      <c r="M11" s="622"/>
      <c r="N11" s="623"/>
      <c r="P11" s="20"/>
      <c r="Q11" s="624"/>
    </row>
    <row r="12" spans="1:28" ht="18" thickBot="1" x14ac:dyDescent="0.35">
      <c r="B12" s="702" t="s">
        <v>110</v>
      </c>
      <c r="C12" s="481"/>
      <c r="D12" s="198">
        <v>1</v>
      </c>
      <c r="E12" s="153" t="s">
        <v>0</v>
      </c>
      <c r="F12" s="150"/>
      <c r="G12" s="584">
        <v>40000</v>
      </c>
      <c r="H12" s="153" t="s">
        <v>1</v>
      </c>
      <c r="I12" s="294"/>
      <c r="J12" s="153"/>
      <c r="K12" s="153"/>
      <c r="L12" s="153"/>
      <c r="M12" s="622"/>
      <c r="N12" s="623"/>
      <c r="P12" s="20"/>
      <c r="Q12" s="624"/>
    </row>
    <row r="13" spans="1:28" ht="18" thickBot="1" x14ac:dyDescent="0.35">
      <c r="B13" s="716" t="s">
        <v>111</v>
      </c>
      <c r="C13" s="888"/>
      <c r="D13" s="198">
        <v>1</v>
      </c>
      <c r="E13" s="153" t="s">
        <v>0</v>
      </c>
      <c r="F13" s="688"/>
      <c r="G13" s="584">
        <v>4000</v>
      </c>
      <c r="H13" s="153" t="s">
        <v>1</v>
      </c>
      <c r="I13" s="294"/>
      <c r="J13" s="153"/>
      <c r="K13" s="153"/>
      <c r="L13" s="153"/>
      <c r="M13" s="622"/>
      <c r="N13" s="623"/>
      <c r="P13" s="20"/>
      <c r="Q13" s="624"/>
    </row>
    <row r="14" spans="1:28" ht="18" thickBot="1" x14ac:dyDescent="0.35">
      <c r="B14" s="766" t="s">
        <v>112</v>
      </c>
      <c r="C14" s="767"/>
      <c r="D14" s="198">
        <v>0</v>
      </c>
      <c r="E14" s="153" t="s">
        <v>0</v>
      </c>
      <c r="F14" s="756"/>
      <c r="G14" s="584">
        <v>0</v>
      </c>
      <c r="H14" s="153" t="s">
        <v>1</v>
      </c>
      <c r="I14" s="294"/>
      <c r="J14" s="153"/>
      <c r="K14" s="153"/>
      <c r="L14" s="153"/>
      <c r="M14" s="622"/>
      <c r="N14" s="623"/>
      <c r="P14" s="20"/>
      <c r="Q14" s="624"/>
    </row>
    <row r="15" spans="1:28" ht="18" thickBot="1" x14ac:dyDescent="0.35">
      <c r="B15" s="768" t="s">
        <v>113</v>
      </c>
      <c r="C15" s="769"/>
      <c r="D15" s="198">
        <v>0</v>
      </c>
      <c r="E15" s="153" t="s">
        <v>0</v>
      </c>
      <c r="F15" s="756"/>
      <c r="G15" s="584">
        <v>0</v>
      </c>
      <c r="H15" s="153" t="s">
        <v>1</v>
      </c>
      <c r="I15" s="294"/>
      <c r="J15" s="153"/>
      <c r="K15" s="153"/>
      <c r="L15" s="153"/>
      <c r="M15" s="622"/>
      <c r="N15" s="623"/>
      <c r="P15" s="20"/>
      <c r="Q15" s="624"/>
    </row>
    <row r="16" spans="1:28" ht="21.6" thickBot="1" x14ac:dyDescent="0.45">
      <c r="B16" s="801" t="s">
        <v>114</v>
      </c>
      <c r="C16" s="802"/>
      <c r="D16" s="198">
        <v>0</v>
      </c>
      <c r="E16" s="153" t="s">
        <v>0</v>
      </c>
      <c r="F16" s="756"/>
      <c r="G16" s="584">
        <v>0</v>
      </c>
      <c r="H16" s="153" t="s">
        <v>1</v>
      </c>
      <c r="I16" s="294"/>
      <c r="J16" s="153"/>
      <c r="K16" s="153"/>
      <c r="L16" s="153"/>
      <c r="M16" s="622"/>
      <c r="N16" s="623"/>
      <c r="P16" s="20"/>
      <c r="Q16" s="624"/>
      <c r="R16" s="433" t="s">
        <v>117</v>
      </c>
      <c r="S16" s="764" t="s">
        <v>137</v>
      </c>
      <c r="T16" s="764"/>
      <c r="U16" s="764" t="s">
        <v>133</v>
      </c>
      <c r="V16" s="764"/>
      <c r="W16" s="764" t="s">
        <v>134</v>
      </c>
      <c r="X16" s="764"/>
      <c r="Y16" s="764" t="s">
        <v>135</v>
      </c>
      <c r="Z16" s="764"/>
      <c r="AA16" s="764" t="s">
        <v>136</v>
      </c>
      <c r="AB16" s="764"/>
    </row>
    <row r="17" spans="1:30" ht="18" thickBot="1" x14ac:dyDescent="0.35">
      <c r="B17" s="803" t="s">
        <v>115</v>
      </c>
      <c r="C17" s="804"/>
      <c r="D17" s="198">
        <v>0</v>
      </c>
      <c r="E17" s="153" t="s">
        <v>0</v>
      </c>
      <c r="F17" s="756"/>
      <c r="G17" s="584">
        <v>0</v>
      </c>
      <c r="H17" s="153" t="s">
        <v>1</v>
      </c>
      <c r="I17" s="294"/>
      <c r="J17" s="153"/>
      <c r="K17" s="153"/>
      <c r="L17" s="153"/>
      <c r="M17" s="622"/>
      <c r="N17" s="623"/>
      <c r="P17" s="20"/>
      <c r="Q17" s="624"/>
      <c r="R17" s="152" t="s">
        <v>121</v>
      </c>
      <c r="S17" s="814">
        <f>U17+W17+Y17+AA17</f>
        <v>5</v>
      </c>
      <c r="T17" s="153" t="s">
        <v>0</v>
      </c>
      <c r="U17" s="197">
        <v>1</v>
      </c>
      <c r="V17" s="153" t="s">
        <v>0</v>
      </c>
      <c r="W17" s="197"/>
      <c r="X17" s="153" t="s">
        <v>0</v>
      </c>
      <c r="Y17" s="197">
        <v>4</v>
      </c>
      <c r="Z17" s="153" t="s">
        <v>0</v>
      </c>
      <c r="AA17" s="197"/>
      <c r="AB17" s="153" t="s">
        <v>0</v>
      </c>
    </row>
    <row r="18" spans="1:30" ht="18" thickBot="1" x14ac:dyDescent="0.35">
      <c r="B18" s="805" t="s">
        <v>116</v>
      </c>
      <c r="C18" s="806"/>
      <c r="D18" s="198">
        <v>0</v>
      </c>
      <c r="E18" s="153" t="s">
        <v>0</v>
      </c>
      <c r="F18" s="756"/>
      <c r="G18" s="584">
        <v>0</v>
      </c>
      <c r="H18" s="153" t="s">
        <v>1</v>
      </c>
      <c r="I18" s="294"/>
      <c r="J18" s="153"/>
      <c r="K18" s="153"/>
      <c r="L18" s="153"/>
      <c r="M18" s="622"/>
      <c r="N18" s="623"/>
      <c r="P18" s="20"/>
      <c r="Q18" s="624"/>
      <c r="R18" s="815" t="s">
        <v>132</v>
      </c>
      <c r="S18" s="814">
        <f>(U18*U17+W18*W17+Y18*Y17+AA18*AA17)/S17</f>
        <v>3400</v>
      </c>
      <c r="T18" s="153" t="s">
        <v>1</v>
      </c>
      <c r="U18" s="197">
        <v>3000</v>
      </c>
      <c r="V18" s="153" t="s">
        <v>1</v>
      </c>
      <c r="W18" s="197"/>
      <c r="X18" s="153" t="s">
        <v>1</v>
      </c>
      <c r="Y18" s="197">
        <v>3500</v>
      </c>
      <c r="Z18" s="153" t="s">
        <v>1</v>
      </c>
      <c r="AA18" s="197"/>
      <c r="AB18" s="153" t="s">
        <v>1</v>
      </c>
    </row>
    <row r="19" spans="1:30" ht="18" thickBot="1" x14ac:dyDescent="0.35">
      <c r="B19" s="147"/>
      <c r="C19" s="148"/>
      <c r="D19" s="150"/>
      <c r="E19" s="150"/>
      <c r="F19" s="150"/>
      <c r="G19" s="150"/>
      <c r="H19" s="150"/>
      <c r="I19" s="200"/>
      <c r="J19" s="148"/>
      <c r="K19" s="148"/>
      <c r="L19" s="148"/>
      <c r="M19" s="622"/>
      <c r="N19" s="149"/>
      <c r="P19" s="20"/>
      <c r="Q19" s="624"/>
      <c r="R19" s="435"/>
      <c r="S19" s="201"/>
      <c r="T19" s="153"/>
      <c r="U19" s="201"/>
      <c r="V19" s="153"/>
      <c r="W19" s="201"/>
      <c r="X19" s="153"/>
      <c r="Y19" s="201"/>
      <c r="Z19" s="153"/>
      <c r="AA19" s="201"/>
      <c r="AB19" s="153"/>
      <c r="AC19" s="13"/>
      <c r="AD19" s="13"/>
    </row>
    <row r="20" spans="1:30" ht="24" customHeight="1" thickBot="1" x14ac:dyDescent="0.45">
      <c r="B20" s="433" t="s">
        <v>117</v>
      </c>
      <c r="C20" s="148"/>
      <c r="D20" s="903" t="s">
        <v>106</v>
      </c>
      <c r="E20" s="903"/>
      <c r="F20" s="764"/>
      <c r="G20" s="904" t="s">
        <v>107</v>
      </c>
      <c r="H20" s="904"/>
      <c r="I20" s="200" t="s">
        <v>118</v>
      </c>
      <c r="J20" s="148"/>
      <c r="K20" s="200" t="s">
        <v>119</v>
      </c>
      <c r="L20" s="200"/>
      <c r="M20" s="622"/>
      <c r="N20" s="149"/>
      <c r="P20" s="20"/>
      <c r="Q20" s="624"/>
      <c r="R20" s="492" t="s">
        <v>122</v>
      </c>
      <c r="S20" s="814">
        <f>U20+W20+Y20+AA20</f>
        <v>1</v>
      </c>
      <c r="T20" s="153" t="s">
        <v>0</v>
      </c>
      <c r="U20" s="197"/>
      <c r="V20" s="153" t="s">
        <v>0</v>
      </c>
      <c r="W20" s="197"/>
      <c r="X20" s="153" t="s">
        <v>0</v>
      </c>
      <c r="Y20" s="197">
        <v>1</v>
      </c>
      <c r="Z20" s="153" t="s">
        <v>0</v>
      </c>
      <c r="AA20" s="197"/>
      <c r="AB20" s="153" t="s">
        <v>0</v>
      </c>
    </row>
    <row r="21" spans="1:30" ht="73.05" customHeight="1" thickBot="1" x14ac:dyDescent="0.35">
      <c r="B21" s="894" t="s">
        <v>120</v>
      </c>
      <c r="C21" s="895"/>
      <c r="D21" s="895"/>
      <c r="E21" s="895"/>
      <c r="F21" s="895"/>
      <c r="G21" s="895"/>
      <c r="H21" s="895"/>
      <c r="I21" s="895"/>
      <c r="J21" s="895"/>
      <c r="K21" s="895"/>
      <c r="L21" s="895"/>
      <c r="M21" s="895"/>
      <c r="N21" s="896"/>
      <c r="P21" s="20"/>
      <c r="Q21" s="624"/>
      <c r="R21" s="819" t="s">
        <v>132</v>
      </c>
      <c r="S21" s="814">
        <f>(U21*U20+W21*W20+Y21*Y20+AA21*AA20)/S20</f>
        <v>8000</v>
      </c>
      <c r="T21" s="153" t="s">
        <v>1</v>
      </c>
      <c r="U21" s="197"/>
      <c r="V21" s="153" t="s">
        <v>1</v>
      </c>
      <c r="W21" s="197"/>
      <c r="X21" s="153" t="s">
        <v>1</v>
      </c>
      <c r="Y21" s="197">
        <v>8000</v>
      </c>
      <c r="Z21" s="153" t="s">
        <v>1</v>
      </c>
      <c r="AA21" s="197"/>
      <c r="AB21" s="153" t="s">
        <v>1</v>
      </c>
    </row>
    <row r="22" spans="1:30" ht="21" thickBot="1" x14ac:dyDescent="0.35">
      <c r="A22" s="828" t="s">
        <v>99</v>
      </c>
      <c r="B22" s="152" t="s">
        <v>121</v>
      </c>
      <c r="C22" s="202"/>
      <c r="D22" s="814">
        <f>S17</f>
        <v>5</v>
      </c>
      <c r="E22" s="153" t="s">
        <v>0</v>
      </c>
      <c r="F22" s="153"/>
      <c r="G22" s="816">
        <f>S18</f>
        <v>3400</v>
      </c>
      <c r="H22" s="153" t="s">
        <v>1</v>
      </c>
      <c r="I22" s="94">
        <v>3</v>
      </c>
      <c r="J22" s="153" t="s">
        <v>128</v>
      </c>
      <c r="K22" s="153"/>
      <c r="L22" s="153"/>
      <c r="M22" s="622"/>
      <c r="N22" s="623"/>
      <c r="P22" s="20"/>
      <c r="Q22" s="624"/>
      <c r="R22" s="148"/>
      <c r="S22" s="201"/>
      <c r="T22" s="153"/>
      <c r="U22" s="201"/>
      <c r="V22" s="153"/>
      <c r="W22" s="201"/>
      <c r="X22" s="153"/>
      <c r="Y22" s="201"/>
      <c r="Z22" s="153"/>
      <c r="AA22" s="201"/>
      <c r="AB22" s="153"/>
    </row>
    <row r="23" spans="1:30" ht="21" thickBot="1" x14ac:dyDescent="0.35">
      <c r="A23" s="828" t="s">
        <v>99</v>
      </c>
      <c r="B23" s="492" t="s">
        <v>122</v>
      </c>
      <c r="C23" s="493"/>
      <c r="D23" s="814">
        <f>S20</f>
        <v>1</v>
      </c>
      <c r="E23" s="153" t="s">
        <v>0</v>
      </c>
      <c r="F23" s="153"/>
      <c r="G23" s="816">
        <f>S21</f>
        <v>8000</v>
      </c>
      <c r="H23" s="153" t="s">
        <v>1</v>
      </c>
      <c r="I23" s="94">
        <v>1</v>
      </c>
      <c r="J23" s="153" t="s">
        <v>128</v>
      </c>
      <c r="K23" s="153"/>
      <c r="L23" s="153"/>
      <c r="M23" s="622"/>
      <c r="N23" s="623"/>
      <c r="P23" s="20"/>
      <c r="Q23" s="624"/>
      <c r="R23" s="154" t="s">
        <v>123</v>
      </c>
      <c r="S23" s="814">
        <f>U23+W23+Y23+AA23</f>
        <v>4</v>
      </c>
      <c r="T23" s="153" t="s">
        <v>0</v>
      </c>
      <c r="U23" s="197">
        <v>0.5</v>
      </c>
      <c r="V23" s="153" t="s">
        <v>0</v>
      </c>
      <c r="W23" s="197">
        <v>0.5</v>
      </c>
      <c r="X23" s="153" t="s">
        <v>0</v>
      </c>
      <c r="Y23" s="197">
        <v>3</v>
      </c>
      <c r="Z23" s="153" t="s">
        <v>0</v>
      </c>
      <c r="AA23" s="197"/>
      <c r="AB23" s="153" t="s">
        <v>0</v>
      </c>
    </row>
    <row r="24" spans="1:30" ht="21" thickBot="1" x14ac:dyDescent="0.35">
      <c r="A24" s="828" t="s">
        <v>99</v>
      </c>
      <c r="B24" s="154" t="s">
        <v>123</v>
      </c>
      <c r="C24" s="203"/>
      <c r="D24" s="814">
        <f>S23</f>
        <v>4</v>
      </c>
      <c r="E24" s="153" t="s">
        <v>0</v>
      </c>
      <c r="F24" s="153"/>
      <c r="G24" s="816">
        <f>S24</f>
        <v>2375</v>
      </c>
      <c r="H24" s="153" t="s">
        <v>1</v>
      </c>
      <c r="I24" s="94">
        <v>8</v>
      </c>
      <c r="J24" s="153" t="s">
        <v>128</v>
      </c>
      <c r="K24" s="153"/>
      <c r="L24" s="153"/>
      <c r="M24" s="622"/>
      <c r="N24" s="623"/>
      <c r="P24" s="20"/>
      <c r="Q24" s="624"/>
      <c r="R24" s="818" t="s">
        <v>132</v>
      </c>
      <c r="S24" s="814">
        <f>(U24*U23+W24*W23+Y24*Y23+AA24*AA23)/S23</f>
        <v>2375</v>
      </c>
      <c r="T24" s="153" t="s">
        <v>1</v>
      </c>
      <c r="U24" s="197"/>
      <c r="V24" s="153" t="s">
        <v>1</v>
      </c>
      <c r="W24" s="197">
        <v>1000</v>
      </c>
      <c r="X24" s="153" t="s">
        <v>1</v>
      </c>
      <c r="Y24" s="197">
        <v>3000</v>
      </c>
      <c r="Z24" s="153" t="s">
        <v>1</v>
      </c>
      <c r="AA24" s="197"/>
      <c r="AB24" s="153" t="s">
        <v>1</v>
      </c>
    </row>
    <row r="25" spans="1:30" ht="21" thickBot="1" x14ac:dyDescent="0.35">
      <c r="A25" s="828" t="s">
        <v>99</v>
      </c>
      <c r="B25" s="911" t="s">
        <v>124</v>
      </c>
      <c r="C25" s="912"/>
      <c r="D25" s="814">
        <f>S26</f>
        <v>1</v>
      </c>
      <c r="E25" s="153" t="s">
        <v>0</v>
      </c>
      <c r="F25" s="153"/>
      <c r="G25" s="816">
        <f>S27</f>
        <v>4500</v>
      </c>
      <c r="H25" s="153" t="s">
        <v>1</v>
      </c>
      <c r="I25" s="94">
        <v>1</v>
      </c>
      <c r="J25" s="153" t="s">
        <v>128</v>
      </c>
      <c r="K25" s="153"/>
      <c r="L25" s="153"/>
      <c r="M25" s="622"/>
      <c r="N25" s="623"/>
      <c r="P25" s="20"/>
      <c r="Q25" s="624"/>
      <c r="R25" s="148"/>
      <c r="S25" s="201"/>
      <c r="T25" s="153"/>
      <c r="U25" s="201"/>
      <c r="V25" s="153"/>
      <c r="W25" s="201"/>
      <c r="X25" s="153"/>
      <c r="Y25" s="201"/>
      <c r="Z25" s="153"/>
      <c r="AA25" s="201"/>
      <c r="AB25" s="153"/>
    </row>
    <row r="26" spans="1:30" ht="21" thickBot="1" x14ac:dyDescent="0.4">
      <c r="A26" s="828" t="s">
        <v>99</v>
      </c>
      <c r="B26" s="913" t="s">
        <v>125</v>
      </c>
      <c r="C26" s="914"/>
      <c r="D26" s="814">
        <f>S29</f>
        <v>5</v>
      </c>
      <c r="E26" s="153" t="s">
        <v>0</v>
      </c>
      <c r="F26" s="153"/>
      <c r="G26" s="816">
        <f>S30</f>
        <v>5800</v>
      </c>
      <c r="H26" s="153" t="s">
        <v>1</v>
      </c>
      <c r="I26" s="94">
        <v>10</v>
      </c>
      <c r="J26" s="153" t="s">
        <v>128</v>
      </c>
      <c r="K26" s="334">
        <v>2</v>
      </c>
      <c r="L26" s="153" t="s">
        <v>128</v>
      </c>
      <c r="M26" s="622"/>
      <c r="N26" s="623"/>
      <c r="P26" s="20"/>
      <c r="Q26" s="624"/>
      <c r="R26" s="823" t="s">
        <v>124</v>
      </c>
      <c r="S26" s="814">
        <f>U26+W26+Y26+AA26</f>
        <v>1</v>
      </c>
      <c r="T26" s="153" t="s">
        <v>0</v>
      </c>
      <c r="U26" s="197"/>
      <c r="V26" s="153" t="s">
        <v>0</v>
      </c>
      <c r="W26" s="197"/>
      <c r="X26" s="153" t="s">
        <v>0</v>
      </c>
      <c r="Y26" s="197">
        <v>1</v>
      </c>
      <c r="Z26" s="153" t="s">
        <v>0</v>
      </c>
      <c r="AA26" s="197"/>
      <c r="AB26" s="153" t="s">
        <v>0</v>
      </c>
    </row>
    <row r="27" spans="1:30" ht="21" thickBot="1" x14ac:dyDescent="0.35">
      <c r="A27" s="828" t="s">
        <v>99</v>
      </c>
      <c r="B27" s="915" t="s">
        <v>126</v>
      </c>
      <c r="C27" s="916"/>
      <c r="D27" s="814">
        <f>S32</f>
        <v>1</v>
      </c>
      <c r="E27" s="153" t="s">
        <v>0</v>
      </c>
      <c r="F27" s="153"/>
      <c r="G27" s="816">
        <f>S33</f>
        <v>4500</v>
      </c>
      <c r="H27" s="153" t="s">
        <v>1</v>
      </c>
      <c r="I27" s="94">
        <v>10</v>
      </c>
      <c r="J27" s="153" t="s">
        <v>128</v>
      </c>
      <c r="K27" s="334">
        <v>2</v>
      </c>
      <c r="L27" s="153" t="s">
        <v>128</v>
      </c>
      <c r="M27" s="622"/>
      <c r="N27" s="623"/>
      <c r="P27" s="20"/>
      <c r="Q27" s="624"/>
      <c r="R27" s="820" t="s">
        <v>132</v>
      </c>
      <c r="S27" s="814">
        <f>(U27*U26+W27*W26+Y27*Y26+AA27*AA26)/S26</f>
        <v>4500</v>
      </c>
      <c r="T27" s="153" t="s">
        <v>1</v>
      </c>
      <c r="U27" s="197"/>
      <c r="V27" s="153" t="s">
        <v>1</v>
      </c>
      <c r="W27" s="197"/>
      <c r="X27" s="153" t="s">
        <v>1</v>
      </c>
      <c r="Y27" s="197">
        <v>4500</v>
      </c>
      <c r="Z27" s="153" t="s">
        <v>1</v>
      </c>
      <c r="AA27" s="197"/>
      <c r="AB27" s="153" t="s">
        <v>1</v>
      </c>
    </row>
    <row r="28" spans="1:30" ht="21" thickBot="1" x14ac:dyDescent="0.35">
      <c r="A28" s="828" t="s">
        <v>99</v>
      </c>
      <c r="B28" s="917" t="s">
        <v>127</v>
      </c>
      <c r="C28" s="918"/>
      <c r="D28" s="814">
        <f>S35</f>
        <v>3</v>
      </c>
      <c r="E28" s="153" t="s">
        <v>0</v>
      </c>
      <c r="F28" s="153"/>
      <c r="G28" s="816">
        <f>S36</f>
        <v>13666.666666666666</v>
      </c>
      <c r="H28" s="153" t="s">
        <v>1</v>
      </c>
      <c r="I28" s="334">
        <v>15</v>
      </c>
      <c r="J28" s="153" t="s">
        <v>128</v>
      </c>
      <c r="K28" s="334">
        <v>3</v>
      </c>
      <c r="L28" s="153" t="s">
        <v>128</v>
      </c>
      <c r="M28" s="622"/>
      <c r="N28" s="623"/>
      <c r="P28" s="20"/>
      <c r="Q28" s="624"/>
      <c r="R28" s="148"/>
      <c r="S28" s="201"/>
      <c r="T28" s="153"/>
      <c r="U28" s="201"/>
      <c r="V28" s="153"/>
      <c r="W28" s="201"/>
      <c r="X28" s="153"/>
      <c r="Y28" s="201"/>
      <c r="Z28" s="153"/>
      <c r="AA28" s="201"/>
      <c r="AB28" s="153"/>
      <c r="AC28" s="5"/>
    </row>
    <row r="29" spans="1:30" s="5" customFormat="1" ht="34.950000000000003" customHeight="1" thickBot="1" x14ac:dyDescent="0.35">
      <c r="B29" s="434"/>
      <c r="C29" s="435"/>
      <c r="D29" s="201"/>
      <c r="E29" s="153"/>
      <c r="F29" s="153"/>
      <c r="G29" s="294"/>
      <c r="H29" s="153"/>
      <c r="I29" s="362"/>
      <c r="J29" s="153"/>
      <c r="K29" s="153"/>
      <c r="L29" s="153"/>
      <c r="M29" s="622"/>
      <c r="N29" s="149"/>
      <c r="P29" s="20"/>
      <c r="Q29" s="624"/>
      <c r="R29" s="827" t="s">
        <v>125</v>
      </c>
      <c r="S29" s="814">
        <f>U29+W29+Y29+AA29</f>
        <v>5</v>
      </c>
      <c r="T29" s="153" t="s">
        <v>0</v>
      </c>
      <c r="U29" s="197"/>
      <c r="V29" s="153" t="s">
        <v>0</v>
      </c>
      <c r="W29" s="197">
        <v>1</v>
      </c>
      <c r="X29" s="153" t="s">
        <v>0</v>
      </c>
      <c r="Y29" s="197">
        <v>4</v>
      </c>
      <c r="Z29" s="153" t="s">
        <v>0</v>
      </c>
      <c r="AA29" s="197"/>
      <c r="AB29" s="153" t="s">
        <v>0</v>
      </c>
    </row>
    <row r="30" spans="1:30" s="5" customFormat="1" ht="21.6" thickBot="1" x14ac:dyDescent="0.45">
      <c r="B30" s="433" t="s">
        <v>725</v>
      </c>
      <c r="C30" s="435"/>
      <c r="D30" s="903" t="s">
        <v>106</v>
      </c>
      <c r="E30" s="903"/>
      <c r="F30" s="764"/>
      <c r="G30" s="904" t="s">
        <v>107</v>
      </c>
      <c r="H30" s="904"/>
      <c r="I30" s="153"/>
      <c r="J30" s="153"/>
      <c r="K30" s="153"/>
      <c r="L30" s="153"/>
      <c r="M30" s="622"/>
      <c r="N30" s="149"/>
      <c r="P30" s="20"/>
      <c r="Q30" s="624"/>
      <c r="R30" s="793" t="s">
        <v>132</v>
      </c>
      <c r="S30" s="814">
        <f>(U30*U29+W30*W29+Y30*Y29+AA30*AA29)/S29</f>
        <v>5800</v>
      </c>
      <c r="T30" s="153" t="s">
        <v>1</v>
      </c>
      <c r="U30" s="197"/>
      <c r="V30" s="153" t="s">
        <v>1</v>
      </c>
      <c r="W30" s="197">
        <v>3000</v>
      </c>
      <c r="X30" s="153" t="s">
        <v>1</v>
      </c>
      <c r="Y30" s="197">
        <v>6500</v>
      </c>
      <c r="Z30" s="153" t="s">
        <v>1</v>
      </c>
      <c r="AA30" s="197"/>
      <c r="AB30" s="153" t="s">
        <v>1</v>
      </c>
    </row>
    <row r="31" spans="1:30" s="5" customFormat="1" ht="18" thickBot="1" x14ac:dyDescent="0.35">
      <c r="B31" s="907" t="s">
        <v>606</v>
      </c>
      <c r="C31" s="908"/>
      <c r="D31" s="197">
        <v>3</v>
      </c>
      <c r="E31" s="153" t="s">
        <v>0</v>
      </c>
      <c r="F31" s="153"/>
      <c r="G31" s="334">
        <v>3500</v>
      </c>
      <c r="H31" s="153" t="s">
        <v>1</v>
      </c>
      <c r="I31" s="294"/>
      <c r="J31" s="153"/>
      <c r="K31" s="153"/>
      <c r="L31" s="153"/>
      <c r="M31" s="622"/>
      <c r="N31" s="623" t="str">
        <f>IF(AND(D31=0, G31&gt;0),"HUOM! Satoa ei voi tulla, mikäli kokonaisala on 0 ha. Korjaathan tarvittaessa sadon nollaksi!"," ")</f>
        <v xml:space="preserve"> </v>
      </c>
      <c r="P31" s="20"/>
      <c r="Q31" s="624"/>
      <c r="S31" s="201"/>
      <c r="T31" s="153"/>
      <c r="U31" s="201"/>
      <c r="V31" s="153"/>
      <c r="W31" s="201"/>
      <c r="X31" s="153"/>
      <c r="Y31" s="201"/>
      <c r="Z31" s="153"/>
      <c r="AA31" s="201"/>
      <c r="AB31" s="153"/>
    </row>
    <row r="32" spans="1:30" s="5" customFormat="1" ht="18" thickBot="1" x14ac:dyDescent="0.35">
      <c r="B32" s="909" t="s">
        <v>607</v>
      </c>
      <c r="C32" s="910"/>
      <c r="D32" s="197">
        <v>0</v>
      </c>
      <c r="E32" s="153" t="s">
        <v>0</v>
      </c>
      <c r="F32" s="153"/>
      <c r="G32" s="334">
        <v>0</v>
      </c>
      <c r="H32" s="153" t="s">
        <v>1</v>
      </c>
      <c r="I32" s="294"/>
      <c r="J32" s="153"/>
      <c r="K32" s="153"/>
      <c r="L32" s="153"/>
      <c r="M32" s="622"/>
      <c r="N32" s="623" t="str">
        <f>IF(AND(D32=0, G32&gt;0),"HUOM! Satoa ei voi tulla, mikäli kokonaisala on 0 ha. Korjaathan tarvittaessa sadon nollaksi!"," ")</f>
        <v xml:space="preserve"> </v>
      </c>
      <c r="P32" s="20"/>
      <c r="Q32" s="624"/>
      <c r="R32" s="826" t="s">
        <v>126</v>
      </c>
      <c r="S32" s="814">
        <f>U32+W32+Y32+AA32</f>
        <v>1</v>
      </c>
      <c r="T32" s="153" t="s">
        <v>0</v>
      </c>
      <c r="U32" s="197"/>
      <c r="V32" s="153" t="s">
        <v>0</v>
      </c>
      <c r="W32" s="197"/>
      <c r="X32" s="153" t="s">
        <v>0</v>
      </c>
      <c r="Y32" s="197">
        <v>1</v>
      </c>
      <c r="Z32" s="153" t="s">
        <v>0</v>
      </c>
      <c r="AA32" s="821"/>
      <c r="AB32" s="822" t="s">
        <v>0</v>
      </c>
      <c r="AC32"/>
    </row>
    <row r="33" spans="2:28" ht="18" thickBot="1" x14ac:dyDescent="0.35">
      <c r="B33" s="905" t="s">
        <v>608</v>
      </c>
      <c r="C33" s="906"/>
      <c r="D33" s="197">
        <v>0</v>
      </c>
      <c r="E33" s="153" t="s">
        <v>0</v>
      </c>
      <c r="F33" s="153"/>
      <c r="G33" s="334">
        <v>0</v>
      </c>
      <c r="H33" s="153" t="s">
        <v>1</v>
      </c>
      <c r="I33" s="294"/>
      <c r="J33" s="153"/>
      <c r="K33" s="153"/>
      <c r="L33" s="153"/>
      <c r="M33" s="622"/>
      <c r="N33" s="623" t="str">
        <f>IF(AND(D33=0, G33&gt;0),"HUOM! Satoa ei voi tulla, mikäli kokonaisala on 0 ha. Korjaathan tarvittaessa sadon nollaksi!"," ")</f>
        <v xml:space="preserve"> </v>
      </c>
      <c r="P33" s="20"/>
      <c r="Q33" s="624"/>
      <c r="R33" s="824" t="s">
        <v>132</v>
      </c>
      <c r="S33" s="814">
        <f>(U33*U32+W33*W32+Y33*Y32+AA33*AA32)/S32</f>
        <v>4500</v>
      </c>
      <c r="T33" s="153" t="s">
        <v>1</v>
      </c>
      <c r="U33" s="197"/>
      <c r="V33" s="153" t="s">
        <v>1</v>
      </c>
      <c r="W33" s="197"/>
      <c r="X33" s="153" t="s">
        <v>1</v>
      </c>
      <c r="Y33" s="197">
        <v>4500</v>
      </c>
      <c r="Z33" s="153" t="s">
        <v>1</v>
      </c>
      <c r="AA33" s="817"/>
      <c r="AB33" s="822" t="s">
        <v>1</v>
      </c>
    </row>
    <row r="34" spans="2:28" ht="18" thickBot="1" x14ac:dyDescent="0.35">
      <c r="B34" s="725" t="s">
        <v>609</v>
      </c>
      <c r="C34" s="726"/>
      <c r="D34" s="197">
        <v>0</v>
      </c>
      <c r="E34" s="153" t="s">
        <v>0</v>
      </c>
      <c r="F34" s="153"/>
      <c r="G34" s="334">
        <v>0</v>
      </c>
      <c r="H34" s="153" t="s">
        <v>1</v>
      </c>
      <c r="I34" s="294"/>
      <c r="J34" s="153"/>
      <c r="K34" s="153"/>
      <c r="L34" s="153"/>
      <c r="M34" s="622"/>
      <c r="N34" s="623"/>
      <c r="P34" s="20"/>
      <c r="Q34" s="624"/>
      <c r="R34" s="5"/>
      <c r="S34" s="201"/>
      <c r="T34" s="153"/>
      <c r="U34" s="201"/>
      <c r="V34" s="153"/>
      <c r="W34" s="201"/>
      <c r="X34" s="153"/>
      <c r="Y34" s="201"/>
      <c r="Z34" s="153"/>
      <c r="AA34" s="201"/>
      <c r="AB34" s="153"/>
    </row>
    <row r="35" spans="2:28" ht="18" thickBot="1" x14ac:dyDescent="0.35">
      <c r="B35" s="703" t="s">
        <v>610</v>
      </c>
      <c r="C35" s="871"/>
      <c r="D35" s="197">
        <v>0</v>
      </c>
      <c r="E35" s="153" t="s">
        <v>0</v>
      </c>
      <c r="F35" s="153"/>
      <c r="G35" s="334">
        <v>0</v>
      </c>
      <c r="H35" s="153" t="s">
        <v>1</v>
      </c>
      <c r="I35" s="153"/>
      <c r="J35" s="153"/>
      <c r="K35" s="153"/>
      <c r="L35" s="153"/>
      <c r="M35" s="622"/>
      <c r="N35" s="623" t="str">
        <f>IF(AND(D35=0, G35&gt;0),"HUOM! Satoa ei voi tulla, mikäli kokonaisala on 0 ha. Korjaathan tarvittaessa sadon nollaksi!"," ")</f>
        <v xml:space="preserve"> </v>
      </c>
      <c r="P35" s="20"/>
      <c r="Q35" s="624"/>
      <c r="R35" s="825" t="s">
        <v>127</v>
      </c>
      <c r="S35" s="814">
        <f>U35+W35+Y35+AA35</f>
        <v>3</v>
      </c>
      <c r="T35" s="153" t="s">
        <v>0</v>
      </c>
      <c r="U35" s="197">
        <v>0.5</v>
      </c>
      <c r="V35" s="153" t="s">
        <v>0</v>
      </c>
      <c r="W35" s="197">
        <v>0.5</v>
      </c>
      <c r="X35" s="153" t="s">
        <v>0</v>
      </c>
      <c r="Y35" s="197">
        <v>2</v>
      </c>
      <c r="Z35" s="153" t="s">
        <v>0</v>
      </c>
      <c r="AA35" s="821"/>
      <c r="AB35" s="822" t="s">
        <v>0</v>
      </c>
    </row>
    <row r="36" spans="2:28" ht="18" thickBot="1" x14ac:dyDescent="0.35">
      <c r="B36" s="704" t="s">
        <v>611</v>
      </c>
      <c r="C36" s="204"/>
      <c r="D36" s="197">
        <v>0</v>
      </c>
      <c r="E36" s="153" t="s">
        <v>0</v>
      </c>
      <c r="F36" s="153"/>
      <c r="G36" s="334">
        <v>0</v>
      </c>
      <c r="H36" s="153" t="s">
        <v>1</v>
      </c>
      <c r="I36" s="153"/>
      <c r="J36" s="153"/>
      <c r="K36" s="153"/>
      <c r="L36" s="153"/>
      <c r="M36" s="622"/>
      <c r="N36" s="623" t="str">
        <f>IF(AND(D36=0, G36&gt;0),"HUOM! Satoa ei voi tulla, mikäli kokonaisala on 0 ha. Korjaathan tarvittaessa sadon nollaksi!"," ")</f>
        <v xml:space="preserve"> </v>
      </c>
      <c r="P36" s="20"/>
      <c r="Q36" s="624"/>
      <c r="R36" s="370" t="s">
        <v>132</v>
      </c>
      <c r="S36" s="814">
        <f>(U36*U35+W36*W35+Y36*Y35+AA36*AA35)/S35</f>
        <v>13666.666666666666</v>
      </c>
      <c r="T36" s="153" t="s">
        <v>1</v>
      </c>
      <c r="U36" s="197"/>
      <c r="V36" s="153" t="s">
        <v>1</v>
      </c>
      <c r="W36" s="197">
        <v>2000</v>
      </c>
      <c r="X36" s="153" t="s">
        <v>1</v>
      </c>
      <c r="Y36" s="197">
        <v>20000</v>
      </c>
      <c r="Z36" s="153" t="s">
        <v>1</v>
      </c>
      <c r="AA36" s="817"/>
      <c r="AB36" s="822" t="s">
        <v>1</v>
      </c>
    </row>
    <row r="37" spans="2:28" ht="18" x14ac:dyDescent="0.35">
      <c r="B37" s="205" t="s">
        <v>196</v>
      </c>
      <c r="C37" s="195"/>
      <c r="D37" s="199">
        <f>SUM(D10:D36)</f>
        <v>27</v>
      </c>
      <c r="E37" s="196" t="s">
        <v>0</v>
      </c>
      <c r="F37" s="196"/>
      <c r="G37" s="153"/>
      <c r="H37" s="153"/>
      <c r="I37" s="148"/>
      <c r="J37" s="148"/>
      <c r="K37" s="148"/>
      <c r="L37" s="148"/>
      <c r="M37" s="148"/>
      <c r="N37" s="149"/>
      <c r="P37" s="20"/>
      <c r="Q37" s="20"/>
    </row>
    <row r="38" spans="2:28" ht="18" x14ac:dyDescent="0.35">
      <c r="B38" s="205"/>
      <c r="C38" s="195"/>
      <c r="D38" s="199"/>
      <c r="E38" s="196"/>
      <c r="F38" s="196"/>
      <c r="G38" s="196"/>
      <c r="H38" s="153"/>
      <c r="I38" s="153"/>
      <c r="J38" s="153"/>
      <c r="K38" s="148"/>
      <c r="L38" s="148"/>
      <c r="M38" s="148"/>
      <c r="N38" s="149"/>
    </row>
    <row r="39" spans="2:28" ht="34.950000000000003" customHeight="1" x14ac:dyDescent="0.35">
      <c r="B39" s="205"/>
      <c r="C39" s="195"/>
      <c r="D39" s="199"/>
      <c r="E39" s="196"/>
      <c r="F39" s="200"/>
      <c r="G39" s="199"/>
      <c r="H39" s="196"/>
      <c r="I39" s="153"/>
      <c r="J39" s="153"/>
      <c r="K39" s="153"/>
      <c r="L39" s="148"/>
      <c r="M39" s="148"/>
      <c r="N39" s="149"/>
    </row>
    <row r="40" spans="2:28" ht="18" thickBot="1" x14ac:dyDescent="0.35">
      <c r="B40" s="206"/>
      <c r="C40" s="194"/>
      <c r="D40" s="153"/>
      <c r="E40" s="153"/>
      <c r="F40" s="153"/>
      <c r="H40" s="153"/>
      <c r="I40" s="153"/>
      <c r="J40" s="153"/>
      <c r="K40" s="153"/>
      <c r="L40" s="148"/>
      <c r="M40" s="148"/>
      <c r="N40" s="149"/>
      <c r="R40" s="5"/>
      <c r="S40" s="5"/>
      <c r="T40" s="5"/>
      <c r="U40" s="5"/>
      <c r="V40" s="5"/>
      <c r="W40" s="5"/>
      <c r="X40" s="5"/>
      <c r="Y40" s="5"/>
    </row>
    <row r="41" spans="2:28" ht="18" thickBot="1" x14ac:dyDescent="0.35">
      <c r="B41" s="206" t="s">
        <v>129</v>
      </c>
      <c r="C41" s="194"/>
      <c r="D41" s="197">
        <v>24</v>
      </c>
      <c r="E41" s="153" t="s">
        <v>0</v>
      </c>
      <c r="F41" s="153"/>
      <c r="G41" s="153"/>
      <c r="H41" s="153"/>
      <c r="I41" s="153"/>
      <c r="J41" s="153"/>
      <c r="K41" s="153"/>
      <c r="L41" s="148"/>
      <c r="M41" s="148"/>
      <c r="N41" s="149"/>
      <c r="O41" s="5"/>
      <c r="P41" s="5"/>
      <c r="Q41" s="5"/>
      <c r="R41" s="5"/>
      <c r="S41" s="5"/>
      <c r="T41" s="5"/>
      <c r="U41" s="5"/>
      <c r="V41" s="5"/>
      <c r="W41" s="5"/>
      <c r="X41" s="5"/>
      <c r="Y41" s="5"/>
    </row>
    <row r="42" spans="2:28" ht="19.05" customHeight="1" thickBot="1" x14ac:dyDescent="0.35">
      <c r="B42" s="206" t="s">
        <v>130</v>
      </c>
      <c r="C42" s="194"/>
      <c r="D42" s="197">
        <v>3</v>
      </c>
      <c r="E42" s="153" t="s">
        <v>0</v>
      </c>
      <c r="F42" s="153"/>
      <c r="G42" s="94">
        <v>400</v>
      </c>
      <c r="H42" s="153" t="s">
        <v>14</v>
      </c>
      <c r="I42" s="153"/>
      <c r="J42" s="153"/>
      <c r="K42" s="899" t="str">
        <f>IF(D37=D43," ","HUOM! Viljelykasvien alojen summa ja oman sekä vuokrapellon summa eivät täsmää.")</f>
        <v xml:space="preserve"> </v>
      </c>
      <c r="L42" s="899"/>
      <c r="M42" s="899"/>
      <c r="N42" s="900"/>
      <c r="O42" s="5"/>
      <c r="P42" s="5"/>
      <c r="Q42" s="5"/>
      <c r="R42" s="5"/>
      <c r="S42" s="5"/>
      <c r="T42" s="5"/>
      <c r="U42" s="5"/>
      <c r="V42" s="5"/>
      <c r="W42" s="5"/>
      <c r="X42" s="5"/>
      <c r="Y42" s="5"/>
    </row>
    <row r="43" spans="2:28" ht="18" x14ac:dyDescent="0.35">
      <c r="B43" s="207" t="s">
        <v>131</v>
      </c>
      <c r="C43" s="208"/>
      <c r="D43" s="209">
        <f>SUM(D41:D42)</f>
        <v>27</v>
      </c>
      <c r="E43" s="210" t="s">
        <v>0</v>
      </c>
      <c r="F43" s="210"/>
      <c r="G43" s="211"/>
      <c r="H43" s="155"/>
      <c r="I43" s="155"/>
      <c r="J43" s="155"/>
      <c r="K43" s="901"/>
      <c r="L43" s="901"/>
      <c r="M43" s="901"/>
      <c r="N43" s="902"/>
      <c r="O43" s="5"/>
      <c r="P43" s="5"/>
      <c r="Q43" s="5"/>
      <c r="R43" s="5"/>
      <c r="S43" s="5"/>
      <c r="T43" s="5"/>
      <c r="U43" s="5"/>
      <c r="V43" s="5"/>
      <c r="W43" s="5"/>
      <c r="X43" s="5"/>
      <c r="Y43" s="5"/>
      <c r="Z43" s="5"/>
      <c r="AA43" s="5"/>
      <c r="AB43" s="5"/>
    </row>
    <row r="44" spans="2:28" ht="61.95" customHeight="1" x14ac:dyDescent="0.3"/>
    <row r="45" spans="2:28" ht="25.2" thickBot="1" x14ac:dyDescent="0.45">
      <c r="B45" s="156" t="s">
        <v>138</v>
      </c>
      <c r="C45" s="157"/>
      <c r="D45" s="158"/>
      <c r="E45" s="158"/>
      <c r="F45" s="158"/>
      <c r="G45" s="158"/>
      <c r="H45" s="158"/>
      <c r="I45" s="158"/>
      <c r="J45" s="158"/>
      <c r="K45" s="158"/>
      <c r="L45" s="158"/>
      <c r="M45" s="158"/>
      <c r="N45" s="158"/>
      <c r="O45" s="158"/>
      <c r="P45" s="158"/>
      <c r="Q45" s="159"/>
    </row>
    <row r="46" spans="2:28" ht="21" x14ac:dyDescent="0.4">
      <c r="B46" s="160"/>
      <c r="C46" s="142"/>
      <c r="D46" s="161"/>
      <c r="E46" s="161"/>
      <c r="F46" s="161"/>
      <c r="G46" s="161"/>
      <c r="H46" s="161"/>
      <c r="I46" s="161"/>
      <c r="J46" s="161"/>
      <c r="K46" s="161"/>
      <c r="L46" s="161"/>
      <c r="M46" s="161"/>
      <c r="N46" s="161"/>
      <c r="O46" s="161"/>
      <c r="P46" s="161"/>
      <c r="Q46" s="162"/>
    </row>
    <row r="47" spans="2:28" ht="43.95" customHeight="1" x14ac:dyDescent="0.3">
      <c r="B47" s="922" t="s">
        <v>144</v>
      </c>
      <c r="C47" s="923"/>
      <c r="D47" s="923"/>
      <c r="E47" s="923"/>
      <c r="F47" s="923"/>
      <c r="G47" s="923"/>
      <c r="H47" s="923"/>
      <c r="I47" s="923"/>
      <c r="J47" s="923"/>
      <c r="K47" s="923"/>
      <c r="L47" s="923"/>
      <c r="M47" s="923"/>
      <c r="N47" s="923"/>
      <c r="O47" s="923"/>
      <c r="P47" s="923"/>
      <c r="Q47" s="924"/>
      <c r="R47" s="20"/>
      <c r="S47" s="20"/>
    </row>
    <row r="48" spans="2:28" ht="21" x14ac:dyDescent="0.4">
      <c r="B48" s="160"/>
      <c r="C48" s="142"/>
      <c r="D48" s="161"/>
      <c r="E48" s="161"/>
      <c r="F48" s="161"/>
      <c r="G48" s="163"/>
      <c r="H48" s="163"/>
      <c r="I48" s="161"/>
      <c r="J48" s="161"/>
      <c r="K48" s="161"/>
      <c r="L48" s="161"/>
      <c r="M48" s="161"/>
      <c r="N48" s="161"/>
      <c r="O48" s="161"/>
      <c r="P48" s="161"/>
      <c r="Q48" s="162"/>
    </row>
    <row r="49" spans="2:31" ht="40.950000000000003" customHeight="1" thickBot="1" x14ac:dyDescent="0.45">
      <c r="B49" s="160"/>
      <c r="C49" s="142"/>
      <c r="D49" s="161"/>
      <c r="E49" s="161"/>
      <c r="F49" s="161"/>
      <c r="G49" s="919" t="s">
        <v>139</v>
      </c>
      <c r="H49" s="919"/>
      <c r="I49" s="161"/>
      <c r="J49" s="161"/>
      <c r="K49" s="161"/>
      <c r="L49" s="161"/>
      <c r="M49" s="161"/>
      <c r="N49" s="161"/>
      <c r="O49" s="161"/>
      <c r="P49" s="161"/>
      <c r="Q49" s="162"/>
    </row>
    <row r="50" spans="2:31" ht="18" thickBot="1" x14ac:dyDescent="0.35">
      <c r="B50" s="363" t="s">
        <v>140</v>
      </c>
      <c r="C50" s="364"/>
      <c r="D50" s="364"/>
      <c r="E50" s="364"/>
      <c r="F50" s="364"/>
      <c r="G50" s="920" t="s">
        <v>27</v>
      </c>
      <c r="H50" s="921"/>
      <c r="I50" s="161"/>
      <c r="J50" s="161"/>
      <c r="K50" s="161"/>
      <c r="L50" s="161"/>
      <c r="M50" s="161"/>
      <c r="N50" s="161"/>
      <c r="O50" s="161"/>
      <c r="P50" s="161"/>
      <c r="Q50" s="162"/>
    </row>
    <row r="51" spans="2:31" ht="18" thickBot="1" x14ac:dyDescent="0.35">
      <c r="B51" s="363" t="s">
        <v>141</v>
      </c>
      <c r="C51" s="364"/>
      <c r="D51" s="364"/>
      <c r="E51" s="364"/>
      <c r="F51" s="364"/>
      <c r="G51" s="920" t="s">
        <v>142</v>
      </c>
      <c r="H51" s="921"/>
      <c r="I51" s="165"/>
      <c r="J51" s="161"/>
      <c r="K51" s="161"/>
      <c r="L51" s="161"/>
      <c r="M51" s="161"/>
      <c r="N51" s="161"/>
      <c r="O51" s="161"/>
      <c r="P51" s="161"/>
      <c r="Q51" s="162"/>
    </row>
    <row r="52" spans="2:31" ht="20.399999999999999" x14ac:dyDescent="0.35">
      <c r="B52" s="164"/>
      <c r="C52" s="165"/>
      <c r="D52" s="165"/>
      <c r="E52" s="165"/>
      <c r="F52" s="165"/>
      <c r="G52" s="166"/>
      <c r="H52" s="166"/>
      <c r="I52" s="165"/>
      <c r="J52" s="165"/>
      <c r="K52" s="165"/>
      <c r="L52" s="165"/>
      <c r="M52" s="165"/>
      <c r="N52" s="165"/>
      <c r="O52" s="165"/>
      <c r="P52" s="165"/>
      <c r="Q52" s="167"/>
    </row>
    <row r="53" spans="2:31" ht="49.05" customHeight="1" x14ac:dyDescent="0.3"/>
    <row r="54" spans="2:31" ht="25.2" thickBot="1" x14ac:dyDescent="0.45">
      <c r="B54" s="927" t="s">
        <v>145</v>
      </c>
      <c r="C54" s="928"/>
      <c r="D54" s="171"/>
      <c r="E54" s="171"/>
      <c r="F54" s="171"/>
      <c r="G54" s="171"/>
      <c r="H54" s="171"/>
      <c r="I54" s="171"/>
      <c r="J54" s="171"/>
      <c r="K54" s="171"/>
      <c r="L54" s="171"/>
      <c r="M54" s="171"/>
      <c r="N54" s="171"/>
      <c r="O54" s="171"/>
      <c r="P54" s="171"/>
      <c r="Q54" s="172"/>
    </row>
    <row r="55" spans="2:31" ht="21" x14ac:dyDescent="0.4">
      <c r="B55" s="173"/>
      <c r="C55" s="169"/>
      <c r="D55" s="174"/>
      <c r="E55" s="174"/>
      <c r="F55" s="174"/>
      <c r="G55" s="174"/>
      <c r="H55" s="174"/>
      <c r="I55" s="174"/>
      <c r="J55" s="174"/>
      <c r="K55" s="174"/>
      <c r="L55" s="174"/>
      <c r="M55" s="174"/>
      <c r="N55" s="174"/>
      <c r="O55" s="174"/>
      <c r="P55" s="174"/>
      <c r="Q55" s="175"/>
    </row>
    <row r="56" spans="2:31" ht="66" customHeight="1" x14ac:dyDescent="0.3">
      <c r="B56" s="929" t="s">
        <v>147</v>
      </c>
      <c r="C56" s="930"/>
      <c r="D56" s="930"/>
      <c r="E56" s="930"/>
      <c r="F56" s="930"/>
      <c r="G56" s="930"/>
      <c r="H56" s="930"/>
      <c r="I56" s="930"/>
      <c r="J56" s="930"/>
      <c r="K56" s="930"/>
      <c r="L56" s="930"/>
      <c r="M56" s="930"/>
      <c r="N56" s="467"/>
      <c r="O56" s="467"/>
      <c r="P56" s="174"/>
      <c r="Q56" s="175"/>
    </row>
    <row r="57" spans="2:31" ht="19.05" customHeight="1" x14ac:dyDescent="0.3">
      <c r="B57" s="176"/>
      <c r="C57" s="170"/>
      <c r="D57" s="170"/>
      <c r="E57" s="170"/>
      <c r="F57" s="170"/>
      <c r="G57" s="170"/>
      <c r="H57" s="170"/>
      <c r="I57" s="170"/>
      <c r="J57" s="170"/>
      <c r="K57" s="170"/>
      <c r="L57" s="170"/>
      <c r="M57" s="170"/>
      <c r="N57" s="467"/>
      <c r="O57" s="467"/>
      <c r="P57" s="174"/>
      <c r="Q57" s="175"/>
    </row>
    <row r="58" spans="2:31" ht="177" customHeight="1" x14ac:dyDescent="0.3">
      <c r="B58" s="929" t="s">
        <v>148</v>
      </c>
      <c r="C58" s="930"/>
      <c r="D58" s="930"/>
      <c r="E58" s="930"/>
      <c r="F58" s="930"/>
      <c r="G58" s="930"/>
      <c r="H58" s="930"/>
      <c r="I58" s="930"/>
      <c r="J58" s="930"/>
      <c r="K58" s="930"/>
      <c r="L58" s="930"/>
      <c r="M58" s="930"/>
      <c r="N58" s="467"/>
      <c r="O58" s="467"/>
      <c r="P58" s="174"/>
      <c r="Q58" s="175"/>
    </row>
    <row r="59" spans="2:31" ht="37.950000000000003" customHeight="1" x14ac:dyDescent="0.4">
      <c r="B59" s="173"/>
      <c r="C59" s="169"/>
      <c r="D59" s="174"/>
      <c r="E59" s="174"/>
      <c r="F59" s="174"/>
      <c r="G59" s="174"/>
      <c r="H59" s="174"/>
      <c r="I59" s="174"/>
      <c r="J59" s="174"/>
      <c r="K59" s="174"/>
      <c r="L59" s="174"/>
      <c r="M59" s="174"/>
      <c r="N59" s="174"/>
      <c r="O59" s="174"/>
      <c r="P59" s="174"/>
      <c r="Q59" s="175"/>
    </row>
    <row r="60" spans="2:31" x14ac:dyDescent="0.3">
      <c r="B60" s="909" t="s">
        <v>149</v>
      </c>
      <c r="C60" s="910"/>
      <c r="D60" s="174"/>
      <c r="E60" s="174"/>
      <c r="F60" s="174"/>
      <c r="G60" s="174"/>
      <c r="H60" s="174"/>
      <c r="I60" s="174"/>
      <c r="J60" s="174"/>
      <c r="K60" s="174"/>
      <c r="L60" s="174"/>
      <c r="M60" s="174"/>
      <c r="N60" s="174"/>
      <c r="O60" s="174"/>
      <c r="P60" s="174"/>
      <c r="Q60" s="175"/>
    </row>
    <row r="61" spans="2:31" ht="87" customHeight="1" x14ac:dyDescent="0.25">
      <c r="B61" s="897" t="s">
        <v>724</v>
      </c>
      <c r="C61" s="898"/>
      <c r="D61" s="898"/>
      <c r="E61" s="898"/>
      <c r="F61" s="898"/>
      <c r="G61" s="898"/>
      <c r="H61" s="898"/>
      <c r="I61" s="898"/>
      <c r="J61" s="898"/>
      <c r="K61" s="898"/>
      <c r="L61" s="898"/>
      <c r="M61" s="174"/>
      <c r="N61" s="174"/>
      <c r="O61" s="174"/>
      <c r="P61" s="174"/>
      <c r="Q61" s="175"/>
    </row>
    <row r="62" spans="2:31" x14ac:dyDescent="0.3">
      <c r="B62" s="465"/>
      <c r="C62" s="466"/>
      <c r="D62" s="174"/>
      <c r="E62" s="174"/>
      <c r="F62" s="174"/>
      <c r="G62" s="174"/>
      <c r="H62" s="174"/>
      <c r="I62" s="174"/>
      <c r="J62" s="174"/>
      <c r="K62" s="174"/>
      <c r="L62" s="174"/>
      <c r="M62" s="174"/>
      <c r="N62" s="174"/>
      <c r="O62" s="174"/>
      <c r="P62" s="174"/>
      <c r="Q62" s="175"/>
    </row>
    <row r="63" spans="2:31" ht="18" thickBot="1" x14ac:dyDescent="0.35">
      <c r="B63" s="177"/>
      <c r="C63" s="178"/>
      <c r="D63" s="178" t="s">
        <v>156</v>
      </c>
      <c r="E63" s="178"/>
      <c r="F63" s="178"/>
      <c r="G63" s="178"/>
      <c r="H63" s="178"/>
      <c r="I63" s="178"/>
      <c r="J63" s="215" t="s">
        <v>157</v>
      </c>
      <c r="K63" s="178"/>
      <c r="L63" s="178"/>
      <c r="M63" s="178"/>
      <c r="N63" s="178"/>
      <c r="O63" s="178"/>
      <c r="P63" s="174"/>
      <c r="Q63" s="175"/>
    </row>
    <row r="64" spans="2:31" s="732" customFormat="1" ht="20.399999999999999" thickBot="1" x14ac:dyDescent="0.35">
      <c r="B64" s="745"/>
      <c r="C64" s="729" t="s">
        <v>702</v>
      </c>
      <c r="D64" s="729">
        <v>111000</v>
      </c>
      <c r="E64" s="746" t="s">
        <v>152</v>
      </c>
      <c r="F64" s="746"/>
      <c r="G64" s="746"/>
      <c r="H64" s="746"/>
      <c r="I64" s="746"/>
      <c r="J64" s="729">
        <v>2000</v>
      </c>
      <c r="K64" s="746"/>
      <c r="L64" s="746"/>
      <c r="M64" s="746"/>
      <c r="N64" s="746"/>
      <c r="O64" s="746"/>
      <c r="P64" s="747"/>
      <c r="Q64" s="748"/>
      <c r="R64"/>
      <c r="S64"/>
      <c r="T64"/>
      <c r="U64"/>
      <c r="V64"/>
      <c r="W64"/>
      <c r="X64"/>
      <c r="Y64"/>
      <c r="Z64"/>
      <c r="AA64"/>
      <c r="AB64"/>
      <c r="AC64"/>
      <c r="AD64"/>
      <c r="AE64"/>
    </row>
    <row r="65" spans="2:31" s="732" customFormat="1" ht="20.399999999999999" thickBot="1" x14ac:dyDescent="0.35">
      <c r="B65" s="745"/>
      <c r="C65" s="729" t="s">
        <v>703</v>
      </c>
      <c r="D65" s="729">
        <v>44000</v>
      </c>
      <c r="E65" s="746" t="s">
        <v>152</v>
      </c>
      <c r="F65" s="746"/>
      <c r="G65" s="746"/>
      <c r="H65" s="746"/>
      <c r="I65" s="746"/>
      <c r="J65" s="729">
        <v>2008</v>
      </c>
      <c r="K65" s="746"/>
      <c r="L65" s="746"/>
      <c r="M65" s="746"/>
      <c r="N65" s="746"/>
      <c r="O65" s="746"/>
      <c r="P65" s="747"/>
      <c r="Q65" s="748"/>
      <c r="R65"/>
      <c r="S65"/>
      <c r="T65"/>
      <c r="U65"/>
      <c r="V65"/>
      <c r="W65"/>
      <c r="X65"/>
      <c r="Y65"/>
      <c r="Z65"/>
      <c r="AA65"/>
      <c r="AB65"/>
      <c r="AD65"/>
      <c r="AE65"/>
    </row>
    <row r="66" spans="2:31" ht="20.399999999999999" thickBot="1" x14ac:dyDescent="0.35">
      <c r="B66" s="177"/>
      <c r="C66" s="94" t="s">
        <v>704</v>
      </c>
      <c r="D66" s="216">
        <v>75000</v>
      </c>
      <c r="E66" s="178" t="s">
        <v>152</v>
      </c>
      <c r="F66" s="178"/>
      <c r="G66" s="178"/>
      <c r="H66" s="178"/>
      <c r="I66" s="178"/>
      <c r="J66" s="94">
        <v>2008</v>
      </c>
      <c r="K66" s="178"/>
      <c r="L66" s="178"/>
      <c r="M66" s="178"/>
      <c r="N66" s="178"/>
      <c r="O66" s="178"/>
      <c r="P66" s="174"/>
      <c r="Q66" s="175"/>
      <c r="AC66" s="732"/>
      <c r="AD66" s="732"/>
      <c r="AE66" s="732"/>
    </row>
    <row r="67" spans="2:31" s="732" customFormat="1" ht="20.399999999999999" thickBot="1" x14ac:dyDescent="0.35">
      <c r="B67" s="745"/>
      <c r="C67" s="729" t="s">
        <v>705</v>
      </c>
      <c r="D67" s="729">
        <v>13000</v>
      </c>
      <c r="E67" s="746" t="s">
        <v>152</v>
      </c>
      <c r="F67" s="746"/>
      <c r="G67" s="746"/>
      <c r="H67" s="746"/>
      <c r="I67" s="746"/>
      <c r="J67" s="729">
        <v>2010</v>
      </c>
      <c r="K67" s="746"/>
      <c r="L67" s="746"/>
      <c r="M67" s="746"/>
      <c r="N67" s="746"/>
      <c r="O67" s="746"/>
      <c r="P67" s="747"/>
      <c r="Q67" s="748"/>
      <c r="R67"/>
      <c r="S67"/>
      <c r="T67"/>
      <c r="U67"/>
      <c r="V67"/>
      <c r="W67"/>
      <c r="X67"/>
      <c r="Y67"/>
      <c r="Z67"/>
      <c r="AA67"/>
      <c r="AB67"/>
      <c r="AC67"/>
    </row>
    <row r="68" spans="2:31" s="732" customFormat="1" ht="18" thickBot="1" x14ac:dyDescent="0.35">
      <c r="B68" s="745"/>
      <c r="C68" s="729" t="s">
        <v>706</v>
      </c>
      <c r="D68" s="729"/>
      <c r="E68" s="746" t="s">
        <v>152</v>
      </c>
      <c r="F68" s="746"/>
      <c r="G68" s="746"/>
      <c r="H68" s="746"/>
      <c r="I68" s="746"/>
      <c r="J68" s="729"/>
      <c r="K68" s="746"/>
      <c r="L68" s="746"/>
      <c r="M68" s="746"/>
      <c r="N68" s="746"/>
      <c r="O68" s="746"/>
      <c r="P68" s="747"/>
      <c r="Q68" s="748"/>
      <c r="R68"/>
      <c r="S68"/>
      <c r="T68"/>
      <c r="U68"/>
      <c r="V68"/>
      <c r="W68"/>
      <c r="X68"/>
      <c r="Y68"/>
      <c r="Z68"/>
      <c r="AA68"/>
      <c r="AB68"/>
      <c r="AD68"/>
      <c r="AE68"/>
    </row>
    <row r="69" spans="2:31" s="732" customFormat="1" ht="18" thickBot="1" x14ac:dyDescent="0.35">
      <c r="B69" s="745"/>
      <c r="C69" s="729" t="s">
        <v>706</v>
      </c>
      <c r="D69" s="729"/>
      <c r="E69" s="746" t="s">
        <v>152</v>
      </c>
      <c r="F69" s="746"/>
      <c r="G69" s="746"/>
      <c r="H69" s="746"/>
      <c r="I69" s="746"/>
      <c r="J69" s="729"/>
      <c r="K69" s="746"/>
      <c r="L69" s="746"/>
      <c r="M69" s="746"/>
      <c r="N69" s="746"/>
      <c r="O69" s="746"/>
      <c r="P69" s="747"/>
      <c r="Q69" s="748"/>
      <c r="R69"/>
      <c r="S69"/>
      <c r="T69"/>
      <c r="U69"/>
      <c r="V69"/>
      <c r="W69"/>
      <c r="X69"/>
      <c r="Y69"/>
      <c r="Z69"/>
      <c r="AA69"/>
      <c r="AB69"/>
    </row>
    <row r="70" spans="2:31" ht="18" thickBot="1" x14ac:dyDescent="0.35">
      <c r="B70" s="177"/>
      <c r="C70" s="94" t="s">
        <v>707</v>
      </c>
      <c r="D70" s="94"/>
      <c r="E70" s="178" t="s">
        <v>152</v>
      </c>
      <c r="F70" s="178"/>
      <c r="G70" s="178"/>
      <c r="H70" s="178"/>
      <c r="I70" s="178"/>
      <c r="J70" s="94"/>
      <c r="K70" s="178"/>
      <c r="L70" s="178"/>
      <c r="M70" s="178"/>
      <c r="N70" s="178"/>
      <c r="O70" s="178"/>
      <c r="P70" s="174"/>
      <c r="Q70" s="175"/>
      <c r="AC70" s="732"/>
      <c r="AD70" s="732"/>
      <c r="AE70" s="732"/>
    </row>
    <row r="71" spans="2:31" ht="18" thickBot="1" x14ac:dyDescent="0.35">
      <c r="B71" s="177"/>
      <c r="C71" s="94" t="s">
        <v>707</v>
      </c>
      <c r="D71" s="94"/>
      <c r="E71" s="178" t="s">
        <v>152</v>
      </c>
      <c r="F71" s="178"/>
      <c r="G71" s="178"/>
      <c r="H71" s="178"/>
      <c r="I71" s="178"/>
      <c r="J71" s="94"/>
      <c r="K71" s="178"/>
      <c r="L71" s="178"/>
      <c r="M71" s="178"/>
      <c r="N71" s="178"/>
      <c r="O71" s="178"/>
      <c r="P71" s="174"/>
      <c r="Q71" s="175"/>
      <c r="AD71" s="732"/>
      <c r="AE71" s="732"/>
    </row>
    <row r="72" spans="2:31" ht="49.05" customHeight="1" x14ac:dyDescent="0.3">
      <c r="B72" s="177"/>
      <c r="C72" s="178"/>
      <c r="D72" s="178"/>
      <c r="E72" s="178"/>
      <c r="F72" s="178"/>
      <c r="G72" s="178"/>
      <c r="H72" s="178"/>
      <c r="I72" s="178"/>
      <c r="J72" s="178"/>
      <c r="K72" s="178"/>
      <c r="L72" s="178"/>
      <c r="M72" s="178"/>
      <c r="N72" s="178"/>
      <c r="O72" s="178"/>
      <c r="P72" s="174"/>
      <c r="Q72" s="175"/>
    </row>
    <row r="73" spans="2:31" x14ac:dyDescent="0.3">
      <c r="B73" s="909" t="s">
        <v>150</v>
      </c>
      <c r="C73" s="910"/>
      <c r="D73" s="178"/>
      <c r="E73" s="178"/>
      <c r="F73" s="178"/>
      <c r="G73" s="178"/>
      <c r="H73" s="178"/>
      <c r="I73" s="178"/>
      <c r="J73" s="178"/>
      <c r="K73" s="178"/>
      <c r="L73" s="178"/>
      <c r="M73" s="178"/>
      <c r="N73" s="178"/>
      <c r="O73" s="178"/>
      <c r="P73" s="174"/>
      <c r="Q73" s="175"/>
      <c r="R73" s="732"/>
      <c r="S73" s="732"/>
      <c r="T73" s="732"/>
    </row>
    <row r="74" spans="2:31" ht="76.05" customHeight="1" x14ac:dyDescent="0.3">
      <c r="B74" s="897" t="s">
        <v>182</v>
      </c>
      <c r="C74" s="898"/>
      <c r="D74" s="898"/>
      <c r="E74" s="898"/>
      <c r="F74" s="898"/>
      <c r="G74" s="898"/>
      <c r="H74" s="898"/>
      <c r="I74" s="898"/>
      <c r="J74" s="898"/>
      <c r="K74" s="898"/>
      <c r="L74" s="898"/>
      <c r="M74" s="178"/>
      <c r="N74" s="178"/>
      <c r="O74" s="178"/>
      <c r="P74" s="174"/>
      <c r="Q74" s="175"/>
      <c r="R74" s="732"/>
      <c r="S74" s="732"/>
      <c r="T74" s="732"/>
    </row>
    <row r="75" spans="2:31" x14ac:dyDescent="0.3">
      <c r="B75" s="465"/>
      <c r="C75" s="466"/>
      <c r="D75" s="178"/>
      <c r="E75" s="178"/>
      <c r="F75" s="178"/>
      <c r="G75" s="178"/>
      <c r="H75" s="178"/>
      <c r="I75" s="178"/>
      <c r="J75" s="178"/>
      <c r="K75" s="178"/>
      <c r="L75" s="178"/>
      <c r="M75" s="178"/>
      <c r="N75" s="178"/>
      <c r="O75" s="178"/>
      <c r="P75" s="174"/>
      <c r="Q75" s="175"/>
      <c r="U75" s="732"/>
      <c r="V75" s="732"/>
      <c r="W75" s="732"/>
      <c r="X75" s="732"/>
      <c r="Y75" s="732"/>
      <c r="Z75" s="732"/>
      <c r="AA75" s="732"/>
      <c r="AB75" s="732"/>
    </row>
    <row r="76" spans="2:31" ht="18" thickBot="1" x14ac:dyDescent="0.35">
      <c r="B76" s="177"/>
      <c r="C76" s="178"/>
      <c r="D76" s="178" t="s">
        <v>156</v>
      </c>
      <c r="E76" s="178"/>
      <c r="F76" s="178"/>
      <c r="G76" s="178"/>
      <c r="H76" s="178"/>
      <c r="I76" s="178"/>
      <c r="J76" s="215" t="s">
        <v>157</v>
      </c>
      <c r="K76" s="178"/>
      <c r="L76" s="178"/>
      <c r="M76" s="178"/>
      <c r="N76" s="178"/>
      <c r="O76" s="178"/>
      <c r="P76" s="174"/>
      <c r="Q76" s="175"/>
      <c r="R76" s="732"/>
      <c r="S76" s="732"/>
      <c r="T76" s="732"/>
      <c r="U76" s="732"/>
      <c r="V76" s="732"/>
      <c r="W76" s="732"/>
      <c r="X76" s="732"/>
      <c r="Y76" s="732"/>
      <c r="Z76" s="732"/>
      <c r="AA76" s="732"/>
      <c r="AB76" s="732"/>
    </row>
    <row r="77" spans="2:31" ht="18" thickBot="1" x14ac:dyDescent="0.35">
      <c r="B77" s="177"/>
      <c r="C77" s="94" t="s">
        <v>163</v>
      </c>
      <c r="D77" s="216">
        <v>35000</v>
      </c>
      <c r="E77" s="178" t="s">
        <v>152</v>
      </c>
      <c r="F77" s="178"/>
      <c r="G77" s="178"/>
      <c r="H77" s="178"/>
      <c r="I77" s="178"/>
      <c r="J77" s="94">
        <v>1980</v>
      </c>
      <c r="K77" s="178"/>
      <c r="L77" s="178"/>
      <c r="M77" s="178"/>
      <c r="N77" s="178"/>
      <c r="O77" s="178"/>
      <c r="P77" s="174"/>
      <c r="Q77" s="175"/>
      <c r="R77" s="732"/>
      <c r="S77" s="732"/>
      <c r="T77" s="732"/>
    </row>
    <row r="78" spans="2:31" ht="18" thickBot="1" x14ac:dyDescent="0.35">
      <c r="B78" s="177"/>
      <c r="C78" s="94" t="s">
        <v>164</v>
      </c>
      <c r="D78" s="216">
        <v>45000</v>
      </c>
      <c r="E78" s="178" t="s">
        <v>152</v>
      </c>
      <c r="F78" s="178"/>
      <c r="G78" s="178"/>
      <c r="H78" s="178"/>
      <c r="I78" s="178"/>
      <c r="J78" s="94">
        <v>2014</v>
      </c>
      <c r="K78" s="178"/>
      <c r="L78" s="178"/>
      <c r="M78" s="178"/>
      <c r="N78" s="178"/>
      <c r="O78" s="178"/>
      <c r="P78" s="174"/>
      <c r="Q78" s="175"/>
      <c r="R78" s="732"/>
      <c r="S78" s="732"/>
      <c r="T78" s="732"/>
      <c r="U78" s="732"/>
      <c r="V78" s="732"/>
      <c r="W78" s="732"/>
      <c r="X78" s="732"/>
      <c r="Y78" s="732"/>
      <c r="Z78" s="732"/>
      <c r="AA78" s="732"/>
      <c r="AB78" s="732"/>
    </row>
    <row r="79" spans="2:31" ht="18" thickBot="1" x14ac:dyDescent="0.35">
      <c r="B79" s="177"/>
      <c r="C79" s="94" t="s">
        <v>165</v>
      </c>
      <c r="D79" s="216">
        <v>5000</v>
      </c>
      <c r="E79" s="178" t="s">
        <v>152</v>
      </c>
      <c r="F79" s="178"/>
      <c r="G79" s="178"/>
      <c r="H79" s="178"/>
      <c r="I79" s="178"/>
      <c r="J79" s="94">
        <v>1990</v>
      </c>
      <c r="K79" s="178"/>
      <c r="L79" s="178"/>
      <c r="M79" s="178"/>
      <c r="N79" s="178"/>
      <c r="O79" s="178"/>
      <c r="P79" s="174"/>
      <c r="Q79" s="175"/>
      <c r="U79" s="732"/>
      <c r="V79" s="732"/>
      <c r="W79" s="732"/>
      <c r="X79" s="732"/>
      <c r="Y79" s="732"/>
      <c r="Z79" s="732"/>
      <c r="AA79" s="732"/>
      <c r="AB79" s="732"/>
    </row>
    <row r="80" spans="2:31" ht="18" thickBot="1" x14ac:dyDescent="0.35">
      <c r="B80" s="177"/>
      <c r="C80" s="94" t="s">
        <v>166</v>
      </c>
      <c r="D80" s="216">
        <v>600</v>
      </c>
      <c r="E80" s="217" t="s">
        <v>152</v>
      </c>
      <c r="F80" s="217"/>
      <c r="G80" s="217"/>
      <c r="H80" s="217"/>
      <c r="I80" s="217"/>
      <c r="J80" s="94">
        <v>2005</v>
      </c>
      <c r="K80" s="178"/>
      <c r="L80" s="178"/>
      <c r="M80" s="178"/>
      <c r="N80" s="178"/>
      <c r="O80" s="178"/>
      <c r="P80" s="174"/>
      <c r="Q80" s="175"/>
      <c r="U80" s="732"/>
      <c r="V80" s="732"/>
      <c r="W80" s="732"/>
      <c r="X80" s="732"/>
      <c r="Y80" s="732"/>
      <c r="Z80" s="732"/>
      <c r="AA80" s="732"/>
      <c r="AB80" s="732"/>
    </row>
    <row r="81" spans="2:31" ht="18" thickBot="1" x14ac:dyDescent="0.35">
      <c r="B81" s="177"/>
      <c r="C81" s="94" t="s">
        <v>100</v>
      </c>
      <c r="D81" s="216">
        <v>6000</v>
      </c>
      <c r="E81" s="217" t="s">
        <v>152</v>
      </c>
      <c r="F81" s="217"/>
      <c r="G81" s="217"/>
      <c r="H81" s="217"/>
      <c r="I81" s="217"/>
      <c r="J81" s="94">
        <v>2013</v>
      </c>
      <c r="K81" s="178"/>
      <c r="L81" s="178"/>
      <c r="M81" s="178"/>
      <c r="N81" s="178"/>
      <c r="O81" s="178"/>
      <c r="P81" s="174"/>
      <c r="Q81" s="175"/>
    </row>
    <row r="82" spans="2:31" s="732" customFormat="1" ht="18" thickBot="1" x14ac:dyDescent="0.35">
      <c r="B82" s="745"/>
      <c r="C82" s="729" t="s">
        <v>167</v>
      </c>
      <c r="D82" s="528">
        <v>1700</v>
      </c>
      <c r="E82" s="746" t="s">
        <v>152</v>
      </c>
      <c r="F82" s="746"/>
      <c r="G82" s="746"/>
      <c r="H82" s="746"/>
      <c r="I82" s="746"/>
      <c r="J82" s="729">
        <v>2011</v>
      </c>
      <c r="K82" s="746"/>
      <c r="L82" s="746"/>
      <c r="M82" s="746"/>
      <c r="N82" s="746"/>
      <c r="O82" s="746"/>
      <c r="P82" s="747"/>
      <c r="Q82" s="748"/>
      <c r="R82"/>
      <c r="S82"/>
      <c r="T82"/>
      <c r="U82"/>
      <c r="V82"/>
      <c r="W82"/>
      <c r="X82"/>
      <c r="Y82"/>
      <c r="Z82"/>
      <c r="AA82"/>
      <c r="AB82"/>
      <c r="AC82"/>
      <c r="AD82"/>
      <c r="AE82"/>
    </row>
    <row r="83" spans="2:31" s="732" customFormat="1" ht="18" thickBot="1" x14ac:dyDescent="0.35">
      <c r="B83" s="745"/>
      <c r="C83" s="729" t="s">
        <v>168</v>
      </c>
      <c r="D83" s="528">
        <v>500</v>
      </c>
      <c r="E83" s="746" t="s">
        <v>152</v>
      </c>
      <c r="F83" s="746"/>
      <c r="G83" s="746"/>
      <c r="H83" s="746"/>
      <c r="I83" s="746"/>
      <c r="J83" s="729">
        <v>2000</v>
      </c>
      <c r="K83" s="746"/>
      <c r="L83" s="746"/>
      <c r="M83" s="746"/>
      <c r="N83" s="746"/>
      <c r="O83" s="746"/>
      <c r="P83" s="747"/>
      <c r="Q83" s="748"/>
      <c r="R83"/>
      <c r="S83"/>
      <c r="T83"/>
      <c r="U83"/>
      <c r="V83"/>
      <c r="W83"/>
      <c r="X83"/>
      <c r="Y83"/>
      <c r="Z83"/>
      <c r="AA83"/>
      <c r="AB83"/>
      <c r="AD83"/>
      <c r="AE83"/>
    </row>
    <row r="84" spans="2:31" s="732" customFormat="1" ht="18" thickBot="1" x14ac:dyDescent="0.35">
      <c r="B84" s="745"/>
      <c r="C84" s="729" t="s">
        <v>169</v>
      </c>
      <c r="D84" s="528">
        <v>1000</v>
      </c>
      <c r="E84" s="746" t="s">
        <v>152</v>
      </c>
      <c r="F84" s="746"/>
      <c r="G84" s="746"/>
      <c r="H84" s="746"/>
      <c r="I84" s="746"/>
      <c r="J84" s="729">
        <v>2013</v>
      </c>
      <c r="K84" s="746"/>
      <c r="L84" s="746"/>
      <c r="M84" s="746"/>
      <c r="N84" s="746"/>
      <c r="O84" s="746"/>
      <c r="P84" s="747"/>
      <c r="Q84" s="748"/>
      <c r="R84"/>
      <c r="S84"/>
      <c r="T84"/>
      <c r="U84"/>
      <c r="V84"/>
      <c r="W84"/>
      <c r="X84"/>
      <c r="Y84"/>
      <c r="Z84"/>
      <c r="AA84"/>
      <c r="AB84"/>
    </row>
    <row r="85" spans="2:31" s="732" customFormat="1" ht="18" thickBot="1" x14ac:dyDescent="0.35">
      <c r="B85" s="745"/>
      <c r="C85" s="729" t="s">
        <v>170</v>
      </c>
      <c r="D85" s="528">
        <v>30000</v>
      </c>
      <c r="E85" s="746" t="s">
        <v>152</v>
      </c>
      <c r="F85" s="746"/>
      <c r="G85" s="746"/>
      <c r="H85" s="746"/>
      <c r="I85" s="746"/>
      <c r="J85" s="729">
        <v>2018</v>
      </c>
      <c r="K85" s="746"/>
      <c r="L85" s="746"/>
      <c r="M85" s="746"/>
      <c r="N85" s="746"/>
      <c r="O85" s="746"/>
      <c r="P85" s="747"/>
      <c r="Q85" s="748"/>
      <c r="R85"/>
      <c r="S85"/>
      <c r="T85"/>
      <c r="U85"/>
      <c r="V85"/>
      <c r="W85"/>
      <c r="X85"/>
      <c r="Y85"/>
      <c r="Z85"/>
      <c r="AA85"/>
      <c r="AB85"/>
    </row>
    <row r="86" spans="2:31" s="732" customFormat="1" ht="18" thickBot="1" x14ac:dyDescent="0.35">
      <c r="B86" s="745"/>
      <c r="C86" s="729" t="s">
        <v>171</v>
      </c>
      <c r="D86" s="528">
        <v>25000</v>
      </c>
      <c r="E86" s="746" t="s">
        <v>152</v>
      </c>
      <c r="F86" s="746"/>
      <c r="G86" s="746"/>
      <c r="H86" s="746"/>
      <c r="I86" s="746"/>
      <c r="J86" s="729">
        <v>2020</v>
      </c>
      <c r="K86" s="746"/>
      <c r="L86" s="746"/>
      <c r="M86" s="746"/>
      <c r="N86" s="746"/>
      <c r="O86" s="746"/>
      <c r="P86" s="747"/>
      <c r="Q86" s="748"/>
      <c r="R86"/>
      <c r="S86"/>
      <c r="T86"/>
      <c r="U86"/>
      <c r="V86"/>
      <c r="W86"/>
      <c r="X86"/>
      <c r="Y86"/>
      <c r="Z86"/>
      <c r="AA86"/>
      <c r="AB86"/>
    </row>
    <row r="87" spans="2:31" s="732" customFormat="1" ht="18" thickBot="1" x14ac:dyDescent="0.35">
      <c r="B87" s="745"/>
      <c r="C87" s="729" t="s">
        <v>172</v>
      </c>
      <c r="D87" s="528">
        <v>50000</v>
      </c>
      <c r="E87" s="746" t="s">
        <v>152</v>
      </c>
      <c r="F87" s="746"/>
      <c r="G87" s="746"/>
      <c r="H87" s="746"/>
      <c r="I87" s="746"/>
      <c r="J87" s="729">
        <v>2018</v>
      </c>
      <c r="K87" s="746"/>
      <c r="L87" s="746"/>
      <c r="M87" s="746"/>
      <c r="N87" s="746"/>
      <c r="O87" s="746"/>
      <c r="P87" s="747"/>
      <c r="Q87" s="748"/>
      <c r="R87"/>
      <c r="S87"/>
      <c r="T87"/>
      <c r="U87"/>
      <c r="V87"/>
      <c r="W87"/>
      <c r="X87"/>
      <c r="Y87"/>
      <c r="Z87"/>
      <c r="AA87"/>
      <c r="AB87"/>
    </row>
    <row r="88" spans="2:31" s="732" customFormat="1" ht="18" thickBot="1" x14ac:dyDescent="0.35">
      <c r="B88" s="745"/>
      <c r="C88" s="729" t="s">
        <v>173</v>
      </c>
      <c r="D88" s="528">
        <v>60000</v>
      </c>
      <c r="E88" s="746" t="s">
        <v>152</v>
      </c>
      <c r="F88" s="746"/>
      <c r="G88" s="746"/>
      <c r="H88" s="746"/>
      <c r="I88" s="746"/>
      <c r="J88" s="729">
        <v>2016</v>
      </c>
      <c r="K88" s="746"/>
      <c r="L88" s="746"/>
      <c r="M88" s="746"/>
      <c r="N88" s="746"/>
      <c r="O88" s="746"/>
      <c r="P88" s="747"/>
      <c r="Q88" s="748"/>
      <c r="R88"/>
      <c r="S88"/>
      <c r="T88"/>
      <c r="U88"/>
      <c r="V88"/>
      <c r="W88"/>
      <c r="X88"/>
      <c r="Y88"/>
      <c r="Z88"/>
      <c r="AA88"/>
      <c r="AB88"/>
    </row>
    <row r="89" spans="2:31" ht="18" thickBot="1" x14ac:dyDescent="0.35">
      <c r="B89" s="177"/>
      <c r="C89" s="94" t="s">
        <v>174</v>
      </c>
      <c r="D89" s="216">
        <v>2500</v>
      </c>
      <c r="E89" s="217" t="s">
        <v>152</v>
      </c>
      <c r="F89" s="217"/>
      <c r="G89" s="217"/>
      <c r="H89" s="217"/>
      <c r="I89" s="217"/>
      <c r="J89" s="94">
        <v>2013</v>
      </c>
      <c r="K89" s="178"/>
      <c r="L89" s="178"/>
      <c r="M89" s="178"/>
      <c r="N89" s="178"/>
      <c r="O89" s="178"/>
      <c r="P89" s="174"/>
      <c r="Q89" s="175"/>
      <c r="AC89" s="732"/>
      <c r="AD89" s="732"/>
      <c r="AE89" s="732"/>
    </row>
    <row r="90" spans="2:31" s="732" customFormat="1" ht="18" thickBot="1" x14ac:dyDescent="0.35">
      <c r="B90" s="745"/>
      <c r="C90" s="729" t="s">
        <v>176</v>
      </c>
      <c r="D90" s="528">
        <v>7600</v>
      </c>
      <c r="E90" s="746" t="s">
        <v>152</v>
      </c>
      <c r="F90" s="746"/>
      <c r="G90" s="746"/>
      <c r="H90" s="746"/>
      <c r="I90" s="746"/>
      <c r="J90" s="729">
        <v>2012</v>
      </c>
      <c r="K90" s="746"/>
      <c r="L90" s="746"/>
      <c r="M90" s="746"/>
      <c r="N90" s="746"/>
      <c r="O90" s="746"/>
      <c r="P90" s="747"/>
      <c r="Q90" s="748"/>
      <c r="R90"/>
      <c r="S90"/>
      <c r="T90"/>
      <c r="U90"/>
      <c r="V90"/>
      <c r="W90"/>
      <c r="X90"/>
      <c r="Y90"/>
      <c r="Z90"/>
      <c r="AA90"/>
      <c r="AB90"/>
      <c r="AC90"/>
    </row>
    <row r="91" spans="2:31" ht="18" thickBot="1" x14ac:dyDescent="0.35">
      <c r="B91" s="177"/>
      <c r="C91" s="94" t="s">
        <v>175</v>
      </c>
      <c r="D91" s="216">
        <v>15000</v>
      </c>
      <c r="E91" s="217" t="s">
        <v>152</v>
      </c>
      <c r="F91" s="217"/>
      <c r="G91" s="217"/>
      <c r="H91" s="217"/>
      <c r="I91" s="217"/>
      <c r="J91" s="94">
        <v>2005</v>
      </c>
      <c r="K91" s="178"/>
      <c r="L91" s="178"/>
      <c r="M91" s="178"/>
      <c r="N91" s="178"/>
      <c r="O91" s="178"/>
      <c r="P91" s="174"/>
      <c r="Q91" s="175"/>
      <c r="R91" s="732"/>
      <c r="S91" s="732"/>
      <c r="T91" s="732"/>
      <c r="AC91" s="732"/>
    </row>
    <row r="92" spans="2:31" ht="18" thickBot="1" x14ac:dyDescent="0.35">
      <c r="B92" s="177"/>
      <c r="C92" s="94" t="s">
        <v>177</v>
      </c>
      <c r="D92" s="334">
        <v>500</v>
      </c>
      <c r="E92" s="217" t="s">
        <v>152</v>
      </c>
      <c r="F92" s="217"/>
      <c r="G92" s="217"/>
      <c r="H92" s="217"/>
      <c r="I92" s="217"/>
      <c r="J92" s="94">
        <v>2005</v>
      </c>
      <c r="K92" s="178"/>
      <c r="L92" s="178"/>
      <c r="M92" s="178"/>
      <c r="N92" s="178"/>
      <c r="O92" s="178"/>
      <c r="P92" s="174"/>
      <c r="Q92" s="175"/>
      <c r="R92" s="732"/>
      <c r="S92" s="732"/>
      <c r="T92" s="732"/>
      <c r="AD92" s="732"/>
      <c r="AE92" s="732"/>
    </row>
    <row r="93" spans="2:31" ht="18" thickBot="1" x14ac:dyDescent="0.35">
      <c r="B93" s="177"/>
      <c r="C93" s="94" t="s">
        <v>178</v>
      </c>
      <c r="D93" s="334">
        <v>2500</v>
      </c>
      <c r="E93" s="217" t="s">
        <v>152</v>
      </c>
      <c r="F93" s="217"/>
      <c r="G93" s="217"/>
      <c r="H93" s="217"/>
      <c r="I93" s="217"/>
      <c r="J93" s="94">
        <v>2003</v>
      </c>
      <c r="K93" s="178"/>
      <c r="L93" s="178"/>
      <c r="M93" s="178"/>
      <c r="N93" s="178"/>
      <c r="O93" s="178"/>
      <c r="P93" s="174"/>
      <c r="Q93" s="175"/>
      <c r="R93" s="732"/>
      <c r="S93" s="732"/>
      <c r="T93" s="732"/>
      <c r="U93" s="732"/>
      <c r="V93" s="732"/>
      <c r="W93" s="732"/>
      <c r="X93" s="732"/>
      <c r="Y93" s="732"/>
      <c r="Z93" s="732"/>
      <c r="AA93" s="732"/>
      <c r="AB93" s="732"/>
    </row>
    <row r="94" spans="2:31" ht="18" thickBot="1" x14ac:dyDescent="0.35">
      <c r="B94" s="177"/>
      <c r="C94" s="94" t="s">
        <v>179</v>
      </c>
      <c r="D94" s="334">
        <v>7000</v>
      </c>
      <c r="E94" s="217" t="s">
        <v>152</v>
      </c>
      <c r="F94" s="217"/>
      <c r="G94" s="217"/>
      <c r="H94" s="217"/>
      <c r="I94" s="217"/>
      <c r="J94" s="94">
        <v>1995</v>
      </c>
      <c r="K94" s="178"/>
      <c r="L94" s="178"/>
      <c r="M94" s="178"/>
      <c r="N94" s="178"/>
      <c r="O94" s="178"/>
      <c r="P94" s="174"/>
      <c r="Q94" s="175"/>
      <c r="R94" s="732"/>
      <c r="S94" s="732"/>
      <c r="T94" s="732"/>
      <c r="U94" s="732"/>
      <c r="V94" s="732"/>
      <c r="W94" s="732"/>
      <c r="X94" s="732"/>
      <c r="Y94" s="732"/>
      <c r="Z94" s="732"/>
      <c r="AA94" s="732"/>
      <c r="AB94" s="732"/>
    </row>
    <row r="95" spans="2:31" s="732" customFormat="1" ht="18" thickBot="1" x14ac:dyDescent="0.35">
      <c r="B95" s="745"/>
      <c r="C95" s="729" t="s">
        <v>180</v>
      </c>
      <c r="D95" s="528"/>
      <c r="E95" s="746" t="s">
        <v>152</v>
      </c>
      <c r="F95" s="746"/>
      <c r="G95" s="746"/>
      <c r="H95" s="746"/>
      <c r="I95" s="746"/>
      <c r="J95" s="729"/>
      <c r="K95" s="746"/>
      <c r="L95" s="746"/>
      <c r="M95" s="746"/>
      <c r="N95" s="746"/>
      <c r="O95" s="746"/>
      <c r="P95" s="747"/>
      <c r="Q95" s="748"/>
      <c r="AC95"/>
      <c r="AD95"/>
      <c r="AE95"/>
    </row>
    <row r="96" spans="2:31" s="732" customFormat="1" ht="18" thickBot="1" x14ac:dyDescent="0.35">
      <c r="B96" s="745"/>
      <c r="C96" s="729" t="s">
        <v>180</v>
      </c>
      <c r="D96" s="528"/>
      <c r="E96" s="746" t="s">
        <v>152</v>
      </c>
      <c r="F96" s="746"/>
      <c r="G96" s="746"/>
      <c r="H96" s="746"/>
      <c r="I96" s="746"/>
      <c r="J96" s="729"/>
      <c r="K96" s="746"/>
      <c r="L96" s="746"/>
      <c r="M96" s="746"/>
      <c r="N96" s="746"/>
      <c r="O96" s="746"/>
      <c r="P96" s="747"/>
      <c r="Q96" s="748"/>
      <c r="AD96"/>
      <c r="AE96"/>
    </row>
    <row r="97" spans="2:31" s="732" customFormat="1" ht="18" thickBot="1" x14ac:dyDescent="0.35">
      <c r="B97" s="745"/>
      <c r="C97" s="729" t="s">
        <v>180</v>
      </c>
      <c r="D97" s="528"/>
      <c r="E97" s="746" t="s">
        <v>152</v>
      </c>
      <c r="F97" s="746"/>
      <c r="G97" s="746"/>
      <c r="H97" s="746"/>
      <c r="I97" s="746"/>
      <c r="J97" s="729"/>
      <c r="K97" s="746"/>
      <c r="L97" s="746"/>
      <c r="M97" s="746"/>
      <c r="N97" s="746"/>
      <c r="O97" s="746"/>
      <c r="P97" s="747"/>
      <c r="Q97" s="748"/>
    </row>
    <row r="98" spans="2:31" ht="18" thickBot="1" x14ac:dyDescent="0.35">
      <c r="B98" s="177"/>
      <c r="C98" s="94" t="s">
        <v>181</v>
      </c>
      <c r="D98" s="216"/>
      <c r="E98" s="217" t="s">
        <v>152</v>
      </c>
      <c r="F98" s="217"/>
      <c r="G98" s="217"/>
      <c r="H98" s="217"/>
      <c r="I98" s="217"/>
      <c r="J98" s="94"/>
      <c r="K98" s="178"/>
      <c r="L98" s="178"/>
      <c r="M98" s="178"/>
      <c r="N98" s="178"/>
      <c r="O98" s="178"/>
      <c r="P98" s="174"/>
      <c r="Q98" s="175"/>
      <c r="U98" s="732"/>
      <c r="V98" s="732"/>
      <c r="W98" s="732"/>
      <c r="X98" s="732"/>
      <c r="Y98" s="732"/>
      <c r="Z98" s="732"/>
      <c r="AA98" s="732"/>
      <c r="AB98" s="732"/>
      <c r="AC98" s="732"/>
      <c r="AD98" s="732"/>
      <c r="AE98" s="732"/>
    </row>
    <row r="99" spans="2:31" ht="18" thickBot="1" x14ac:dyDescent="0.35">
      <c r="B99" s="177"/>
      <c r="C99" s="94" t="s">
        <v>181</v>
      </c>
      <c r="D99" s="216"/>
      <c r="E99" s="217" t="s">
        <v>152</v>
      </c>
      <c r="F99" s="217"/>
      <c r="G99" s="217"/>
      <c r="H99" s="217"/>
      <c r="I99" s="217"/>
      <c r="J99" s="94"/>
      <c r="K99" s="178"/>
      <c r="L99" s="178"/>
      <c r="M99" s="178"/>
      <c r="N99" s="178"/>
      <c r="O99" s="178"/>
      <c r="P99" s="174"/>
      <c r="Q99" s="175"/>
      <c r="R99" s="732"/>
      <c r="S99" s="732"/>
      <c r="T99" s="732"/>
      <c r="U99" s="732"/>
      <c r="V99" s="732"/>
      <c r="W99" s="732"/>
      <c r="X99" s="732"/>
      <c r="Y99" s="732"/>
      <c r="Z99" s="732"/>
      <c r="AA99" s="732"/>
      <c r="AB99" s="732"/>
      <c r="AD99" s="732"/>
      <c r="AE99" s="732"/>
    </row>
    <row r="100" spans="2:31" ht="37.950000000000003" customHeight="1" x14ac:dyDescent="0.3">
      <c r="B100" s="177"/>
      <c r="C100" s="178"/>
      <c r="D100" s="178"/>
      <c r="E100" s="178"/>
      <c r="F100" s="178"/>
      <c r="G100" s="178"/>
      <c r="H100" s="178"/>
      <c r="I100" s="178"/>
      <c r="J100" s="178"/>
      <c r="K100" s="178"/>
      <c r="L100" s="178"/>
      <c r="M100" s="178"/>
      <c r="N100" s="178"/>
      <c r="O100" s="178"/>
      <c r="P100" s="174"/>
      <c r="Q100" s="175"/>
    </row>
    <row r="101" spans="2:31" x14ac:dyDescent="0.3">
      <c r="B101" s="909" t="s">
        <v>151</v>
      </c>
      <c r="C101" s="910"/>
      <c r="D101" s="178"/>
      <c r="E101" s="178"/>
      <c r="F101" s="178"/>
      <c r="G101" s="178"/>
      <c r="H101" s="178"/>
      <c r="I101" s="178"/>
      <c r="J101" s="178"/>
      <c r="K101" s="178"/>
      <c r="L101" s="178"/>
      <c r="M101" s="178"/>
      <c r="N101" s="178"/>
      <c r="O101" s="178"/>
      <c r="P101" s="174"/>
      <c r="Q101" s="175"/>
      <c r="U101" s="732"/>
      <c r="V101" s="732"/>
      <c r="W101" s="732"/>
      <c r="X101" s="732"/>
      <c r="Y101" s="732"/>
      <c r="Z101" s="732"/>
      <c r="AA101" s="732"/>
      <c r="AB101" s="732"/>
    </row>
    <row r="102" spans="2:31" ht="60" customHeight="1" x14ac:dyDescent="0.3">
      <c r="B102" s="897" t="s">
        <v>183</v>
      </c>
      <c r="C102" s="898"/>
      <c r="D102" s="898"/>
      <c r="E102" s="898"/>
      <c r="F102" s="898"/>
      <c r="G102" s="898"/>
      <c r="H102" s="898"/>
      <c r="I102" s="898"/>
      <c r="J102" s="898"/>
      <c r="K102" s="898"/>
      <c r="L102" s="898"/>
      <c r="M102" s="898"/>
      <c r="N102" s="178"/>
      <c r="O102" s="178"/>
      <c r="P102" s="174"/>
      <c r="Q102" s="174"/>
    </row>
    <row r="103" spans="2:31" x14ac:dyDescent="0.3">
      <c r="B103" s="465"/>
      <c r="C103" s="466"/>
      <c r="D103" s="178"/>
      <c r="E103" s="178"/>
      <c r="F103" s="178"/>
      <c r="G103" s="178"/>
      <c r="H103" s="178"/>
      <c r="I103" s="178"/>
      <c r="J103" s="178"/>
      <c r="K103" s="178"/>
      <c r="L103" s="178"/>
      <c r="M103" s="178"/>
      <c r="N103" s="178"/>
      <c r="O103" s="178"/>
      <c r="P103" s="174"/>
      <c r="Q103" s="174"/>
    </row>
    <row r="104" spans="2:31" ht="18" thickBot="1" x14ac:dyDescent="0.35">
      <c r="B104" s="177"/>
      <c r="C104" s="178"/>
      <c r="D104" s="178" t="s">
        <v>158</v>
      </c>
      <c r="E104" s="178"/>
      <c r="F104" s="178"/>
      <c r="G104" s="931" t="s">
        <v>161</v>
      </c>
      <c r="H104" s="931"/>
      <c r="I104" s="178"/>
      <c r="J104" s="215" t="s">
        <v>157</v>
      </c>
      <c r="K104" s="178"/>
      <c r="L104" s="178" t="s">
        <v>156</v>
      </c>
      <c r="M104" s="174"/>
      <c r="N104" s="174"/>
      <c r="O104" s="174"/>
      <c r="P104" s="174"/>
      <c r="Q104" s="174"/>
      <c r="R104" s="732"/>
      <c r="S104" s="732"/>
      <c r="T104" s="732"/>
    </row>
    <row r="105" spans="2:31" s="732" customFormat="1" ht="18" thickBot="1" x14ac:dyDescent="0.35">
      <c r="B105" s="745"/>
      <c r="C105" s="729" t="s">
        <v>708</v>
      </c>
      <c r="D105" s="528">
        <v>4.5999999999999996</v>
      </c>
      <c r="E105" s="746" t="s">
        <v>152</v>
      </c>
      <c r="F105" s="746"/>
      <c r="G105" s="749">
        <v>50</v>
      </c>
      <c r="H105" s="746" t="s">
        <v>153</v>
      </c>
      <c r="I105" s="746"/>
      <c r="J105" s="729">
        <v>2010</v>
      </c>
      <c r="K105" s="746"/>
      <c r="L105" s="750">
        <f t="shared" ref="L105:L123" si="0">D105*G105</f>
        <v>229.99999999999997</v>
      </c>
      <c r="M105" s="746" t="s">
        <v>53</v>
      </c>
      <c r="N105" s="746"/>
      <c r="O105" s="746"/>
      <c r="P105" s="747"/>
      <c r="Q105" s="747"/>
      <c r="U105"/>
      <c r="V105"/>
      <c r="W105"/>
      <c r="X105"/>
      <c r="Y105"/>
      <c r="Z105"/>
      <c r="AA105"/>
      <c r="AB105"/>
      <c r="AC105"/>
      <c r="AD105"/>
      <c r="AE105"/>
    </row>
    <row r="106" spans="2:31" s="732" customFormat="1" ht="18" thickBot="1" x14ac:dyDescent="0.35">
      <c r="B106" s="745"/>
      <c r="C106" s="729" t="s">
        <v>709</v>
      </c>
      <c r="D106" s="528">
        <v>10</v>
      </c>
      <c r="E106" s="746" t="s">
        <v>152</v>
      </c>
      <c r="F106" s="746"/>
      <c r="G106" s="749">
        <v>50</v>
      </c>
      <c r="H106" s="746" t="s">
        <v>153</v>
      </c>
      <c r="I106" s="746"/>
      <c r="J106" s="729">
        <v>2010</v>
      </c>
      <c r="K106" s="746"/>
      <c r="L106" s="750">
        <f t="shared" si="0"/>
        <v>500</v>
      </c>
      <c r="M106" s="746" t="s">
        <v>53</v>
      </c>
      <c r="N106" s="746"/>
      <c r="O106" s="746"/>
      <c r="P106" s="747"/>
      <c r="Q106" s="747"/>
      <c r="AD106"/>
      <c r="AE106"/>
    </row>
    <row r="107" spans="2:31" s="732" customFormat="1" ht="18" thickBot="1" x14ac:dyDescent="0.35">
      <c r="B107" s="745"/>
      <c r="C107" s="729" t="s">
        <v>101</v>
      </c>
      <c r="D107" s="528">
        <v>8</v>
      </c>
      <c r="E107" s="746" t="s">
        <v>152</v>
      </c>
      <c r="F107" s="746"/>
      <c r="G107" s="749">
        <v>40</v>
      </c>
      <c r="H107" s="746" t="s">
        <v>153</v>
      </c>
      <c r="I107" s="746"/>
      <c r="J107" s="729">
        <v>2010</v>
      </c>
      <c r="K107" s="746"/>
      <c r="L107" s="750">
        <f t="shared" si="0"/>
        <v>320</v>
      </c>
      <c r="M107" s="746" t="s">
        <v>53</v>
      </c>
      <c r="N107" s="746"/>
      <c r="O107" s="746"/>
      <c r="P107" s="747"/>
      <c r="Q107" s="747"/>
      <c r="R107"/>
      <c r="S107"/>
      <c r="T107"/>
    </row>
    <row r="108" spans="2:31" s="732" customFormat="1" ht="18" thickBot="1" x14ac:dyDescent="0.35">
      <c r="B108" s="745"/>
      <c r="C108" s="729" t="s">
        <v>710</v>
      </c>
      <c r="D108" s="528">
        <v>200</v>
      </c>
      <c r="E108" s="746" t="s">
        <v>152</v>
      </c>
      <c r="F108" s="746"/>
      <c r="G108" s="749">
        <v>4</v>
      </c>
      <c r="H108" s="746" t="s">
        <v>153</v>
      </c>
      <c r="I108" s="746"/>
      <c r="J108" s="729">
        <v>2010</v>
      </c>
      <c r="K108" s="746"/>
      <c r="L108" s="750">
        <f t="shared" si="0"/>
        <v>800</v>
      </c>
      <c r="M108" s="746" t="s">
        <v>53</v>
      </c>
      <c r="N108" s="746"/>
      <c r="O108" s="746"/>
      <c r="P108" s="747"/>
      <c r="Q108" s="747"/>
      <c r="R108"/>
      <c r="S108"/>
      <c r="T108"/>
    </row>
    <row r="109" spans="2:31" s="732" customFormat="1" ht="18" thickBot="1" x14ac:dyDescent="0.35">
      <c r="B109" s="745"/>
      <c r="C109" s="729" t="s">
        <v>711</v>
      </c>
      <c r="D109" s="528">
        <v>5000</v>
      </c>
      <c r="E109" s="746" t="s">
        <v>152</v>
      </c>
      <c r="F109" s="746"/>
      <c r="G109" s="749">
        <v>1</v>
      </c>
      <c r="H109" s="746" t="s">
        <v>153</v>
      </c>
      <c r="I109" s="746"/>
      <c r="J109" s="729">
        <v>2010</v>
      </c>
      <c r="K109" s="746"/>
      <c r="L109" s="750">
        <f t="shared" si="0"/>
        <v>5000</v>
      </c>
      <c r="M109" s="746" t="s">
        <v>53</v>
      </c>
      <c r="N109" s="746"/>
      <c r="O109" s="746"/>
      <c r="P109" s="747"/>
      <c r="Q109" s="747"/>
      <c r="R109"/>
      <c r="S109"/>
      <c r="T109"/>
      <c r="U109"/>
      <c r="V109"/>
      <c r="W109"/>
      <c r="X109"/>
      <c r="Y109"/>
      <c r="Z109"/>
      <c r="AA109"/>
      <c r="AB109"/>
    </row>
    <row r="110" spans="2:31" s="732" customFormat="1" ht="18" thickBot="1" x14ac:dyDescent="0.35">
      <c r="B110" s="745"/>
      <c r="C110" s="729" t="s">
        <v>712</v>
      </c>
      <c r="D110" s="528">
        <v>3000</v>
      </c>
      <c r="E110" s="746" t="s">
        <v>152</v>
      </c>
      <c r="F110" s="746"/>
      <c r="G110" s="749">
        <v>1</v>
      </c>
      <c r="H110" s="746" t="s">
        <v>153</v>
      </c>
      <c r="I110" s="746"/>
      <c r="J110" s="729">
        <v>2010</v>
      </c>
      <c r="K110" s="746"/>
      <c r="L110" s="750">
        <f t="shared" si="0"/>
        <v>3000</v>
      </c>
      <c r="M110" s="746" t="s">
        <v>53</v>
      </c>
      <c r="N110" s="746"/>
      <c r="O110" s="746"/>
      <c r="P110" s="747"/>
      <c r="Q110" s="747"/>
      <c r="R110"/>
      <c r="S110"/>
      <c r="T110"/>
      <c r="U110"/>
      <c r="V110"/>
      <c r="W110"/>
      <c r="X110"/>
      <c r="Y110"/>
      <c r="Z110"/>
      <c r="AA110"/>
      <c r="AB110"/>
    </row>
    <row r="111" spans="2:31" s="732" customFormat="1" ht="18" thickBot="1" x14ac:dyDescent="0.35">
      <c r="B111" s="745"/>
      <c r="C111" s="729" t="s">
        <v>713</v>
      </c>
      <c r="D111" s="528">
        <v>2000</v>
      </c>
      <c r="E111" s="746" t="s">
        <v>24</v>
      </c>
      <c r="F111" s="746"/>
      <c r="G111" s="749">
        <v>1</v>
      </c>
      <c r="H111" s="746" t="s">
        <v>25</v>
      </c>
      <c r="I111" s="746"/>
      <c r="J111" s="729">
        <v>2010</v>
      </c>
      <c r="K111" s="746"/>
      <c r="L111" s="750">
        <f t="shared" si="0"/>
        <v>2000</v>
      </c>
      <c r="M111" s="746" t="s">
        <v>53</v>
      </c>
      <c r="N111" s="746"/>
      <c r="O111" s="746"/>
      <c r="P111" s="747"/>
      <c r="Q111" s="747"/>
      <c r="R111"/>
      <c r="S111"/>
      <c r="T111"/>
      <c r="U111"/>
      <c r="V111"/>
      <c r="W111"/>
      <c r="X111"/>
      <c r="Y111"/>
      <c r="Z111"/>
      <c r="AA111"/>
      <c r="AB111"/>
    </row>
    <row r="112" spans="2:31" s="732" customFormat="1" ht="18" thickBot="1" x14ac:dyDescent="0.35">
      <c r="B112" s="745"/>
      <c r="C112" s="729" t="s">
        <v>714</v>
      </c>
      <c r="D112" s="528">
        <v>700</v>
      </c>
      <c r="E112" s="746" t="s">
        <v>152</v>
      </c>
      <c r="F112" s="746"/>
      <c r="G112" s="749">
        <v>1</v>
      </c>
      <c r="H112" s="746" t="s">
        <v>153</v>
      </c>
      <c r="I112" s="746"/>
      <c r="J112" s="729">
        <v>2008</v>
      </c>
      <c r="K112" s="746"/>
      <c r="L112" s="750">
        <f t="shared" si="0"/>
        <v>700</v>
      </c>
      <c r="M112" s="746" t="s">
        <v>53</v>
      </c>
      <c r="N112" s="746"/>
      <c r="O112" s="746"/>
      <c r="P112" s="747"/>
      <c r="Q112" s="747"/>
      <c r="R112"/>
      <c r="S112"/>
      <c r="T112"/>
      <c r="U112"/>
      <c r="V112"/>
      <c r="W112"/>
      <c r="X112"/>
      <c r="Y112"/>
      <c r="Z112"/>
      <c r="AA112"/>
      <c r="AB112"/>
    </row>
    <row r="113" spans="2:31" s="732" customFormat="1" ht="18" thickBot="1" x14ac:dyDescent="0.35">
      <c r="B113" s="745"/>
      <c r="C113" s="729" t="s">
        <v>715</v>
      </c>
      <c r="D113" s="528">
        <v>800</v>
      </c>
      <c r="E113" s="746" t="s">
        <v>14</v>
      </c>
      <c r="F113" s="746"/>
      <c r="G113" s="749">
        <v>5</v>
      </c>
      <c r="H113" s="746" t="s">
        <v>153</v>
      </c>
      <c r="I113" s="746"/>
      <c r="J113" s="729">
        <v>2018</v>
      </c>
      <c r="K113" s="746"/>
      <c r="L113" s="750">
        <f t="shared" si="0"/>
        <v>4000</v>
      </c>
      <c r="M113" s="746" t="s">
        <v>53</v>
      </c>
      <c r="N113" s="746"/>
      <c r="O113" s="746"/>
      <c r="P113" s="747"/>
      <c r="Q113" s="747"/>
      <c r="R113"/>
      <c r="S113"/>
      <c r="T113"/>
      <c r="U113"/>
      <c r="V113"/>
      <c r="W113"/>
      <c r="X113"/>
      <c r="Y113"/>
      <c r="Z113"/>
      <c r="AA113"/>
      <c r="AB113"/>
    </row>
    <row r="114" spans="2:31" s="732" customFormat="1" ht="18" thickBot="1" x14ac:dyDescent="0.35">
      <c r="B114" s="745"/>
      <c r="C114" s="729" t="s">
        <v>716</v>
      </c>
      <c r="D114" s="528">
        <v>1100</v>
      </c>
      <c r="E114" s="746" t="s">
        <v>14</v>
      </c>
      <c r="F114" s="746"/>
      <c r="G114" s="749">
        <v>5</v>
      </c>
      <c r="H114" s="746" t="s">
        <v>153</v>
      </c>
      <c r="I114" s="746"/>
      <c r="J114" s="729">
        <v>2019</v>
      </c>
      <c r="K114" s="746"/>
      <c r="L114" s="750">
        <f t="shared" si="0"/>
        <v>5500</v>
      </c>
      <c r="M114" s="746" t="s">
        <v>53</v>
      </c>
      <c r="N114" s="746"/>
      <c r="O114" s="746"/>
      <c r="P114" s="747"/>
      <c r="Q114" s="747"/>
      <c r="U114"/>
      <c r="V114"/>
      <c r="W114"/>
      <c r="X114"/>
      <c r="Y114"/>
      <c r="Z114"/>
      <c r="AA114"/>
      <c r="AB114"/>
    </row>
    <row r="115" spans="2:31" s="732" customFormat="1" ht="18" thickBot="1" x14ac:dyDescent="0.35">
      <c r="B115" s="745"/>
      <c r="C115" s="729" t="s">
        <v>717</v>
      </c>
      <c r="D115" s="528">
        <v>2.15</v>
      </c>
      <c r="E115" s="746" t="s">
        <v>24</v>
      </c>
      <c r="F115" s="746"/>
      <c r="G115" s="749">
        <v>1750</v>
      </c>
      <c r="H115" s="746" t="s">
        <v>25</v>
      </c>
      <c r="I115" s="746"/>
      <c r="J115" s="729">
        <v>2013</v>
      </c>
      <c r="K115" s="746"/>
      <c r="L115" s="750">
        <f t="shared" si="0"/>
        <v>3762.5</v>
      </c>
      <c r="M115" s="746" t="s">
        <v>53</v>
      </c>
      <c r="N115" s="746"/>
      <c r="O115" s="746"/>
      <c r="P115" s="747"/>
      <c r="Q115" s="747"/>
      <c r="U115"/>
      <c r="V115"/>
      <c r="W115"/>
      <c r="X115"/>
      <c r="Y115"/>
      <c r="Z115"/>
      <c r="AA115"/>
      <c r="AB115"/>
    </row>
    <row r="116" spans="2:31" s="732" customFormat="1" ht="18" thickBot="1" x14ac:dyDescent="0.35">
      <c r="B116" s="745"/>
      <c r="C116" s="729" t="s">
        <v>718</v>
      </c>
      <c r="D116" s="528">
        <v>4</v>
      </c>
      <c r="E116" s="746" t="s">
        <v>24</v>
      </c>
      <c r="F116" s="746"/>
      <c r="G116" s="749">
        <v>1751</v>
      </c>
      <c r="H116" s="746" t="s">
        <v>25</v>
      </c>
      <c r="I116" s="746"/>
      <c r="J116" s="729">
        <v>2014</v>
      </c>
      <c r="K116" s="746"/>
      <c r="L116" s="750">
        <f t="shared" ref="L116" si="1">D116*G116</f>
        <v>7004</v>
      </c>
      <c r="M116" s="746" t="s">
        <v>53</v>
      </c>
      <c r="N116" s="746"/>
      <c r="O116" s="746"/>
      <c r="P116" s="747"/>
      <c r="Q116" s="747"/>
    </row>
    <row r="117" spans="2:31" s="732" customFormat="1" ht="18" thickBot="1" x14ac:dyDescent="0.35">
      <c r="B117" s="745"/>
      <c r="C117" s="729" t="s">
        <v>719</v>
      </c>
      <c r="D117" s="528">
        <v>200</v>
      </c>
      <c r="E117" s="746" t="s">
        <v>152</v>
      </c>
      <c r="F117" s="746"/>
      <c r="G117" s="749">
        <v>1</v>
      </c>
      <c r="H117" s="746" t="s">
        <v>153</v>
      </c>
      <c r="I117" s="746"/>
      <c r="J117" s="729">
        <v>2013</v>
      </c>
      <c r="K117" s="746"/>
      <c r="L117" s="750">
        <f t="shared" si="0"/>
        <v>200</v>
      </c>
      <c r="M117" s="746" t="s">
        <v>53</v>
      </c>
      <c r="N117" s="746"/>
      <c r="O117" s="746"/>
      <c r="P117" s="747"/>
      <c r="Q117" s="747"/>
    </row>
    <row r="118" spans="2:31" s="732" customFormat="1" ht="18" thickBot="1" x14ac:dyDescent="0.35">
      <c r="B118" s="745"/>
      <c r="C118" s="729" t="s">
        <v>720</v>
      </c>
      <c r="D118" s="528">
        <v>500</v>
      </c>
      <c r="E118" s="746" t="s">
        <v>152</v>
      </c>
      <c r="F118" s="746"/>
      <c r="G118" s="749">
        <v>1</v>
      </c>
      <c r="H118" s="746" t="s">
        <v>153</v>
      </c>
      <c r="I118" s="746"/>
      <c r="J118" s="729">
        <v>2008</v>
      </c>
      <c r="K118" s="746"/>
      <c r="L118" s="750">
        <f t="shared" si="0"/>
        <v>500</v>
      </c>
      <c r="M118" s="746" t="s">
        <v>53</v>
      </c>
      <c r="N118" s="746"/>
      <c r="O118" s="746"/>
      <c r="P118" s="747"/>
      <c r="Q118" s="747"/>
    </row>
    <row r="119" spans="2:31" s="732" customFormat="1" ht="18" thickBot="1" x14ac:dyDescent="0.35">
      <c r="B119" s="745"/>
      <c r="C119" s="729" t="s">
        <v>721</v>
      </c>
      <c r="D119" s="528">
        <v>5.5</v>
      </c>
      <c r="E119" s="746" t="s">
        <v>83</v>
      </c>
      <c r="F119" s="746"/>
      <c r="G119" s="749">
        <v>5000</v>
      </c>
      <c r="H119" s="746" t="s">
        <v>84</v>
      </c>
      <c r="I119" s="746"/>
      <c r="J119" s="729">
        <v>2020</v>
      </c>
      <c r="K119" s="746"/>
      <c r="L119" s="750">
        <f t="shared" ref="L119:L120" si="2">D119*G119</f>
        <v>27500</v>
      </c>
      <c r="M119" s="746" t="s">
        <v>53</v>
      </c>
      <c r="N119" s="746"/>
      <c r="O119" s="746"/>
      <c r="P119" s="747"/>
      <c r="Q119" s="747"/>
    </row>
    <row r="120" spans="2:31" s="732" customFormat="1" ht="18" thickBot="1" x14ac:dyDescent="0.35">
      <c r="B120" s="745"/>
      <c r="C120" s="729" t="s">
        <v>722</v>
      </c>
      <c r="D120" s="528">
        <v>1</v>
      </c>
      <c r="E120" s="746" t="s">
        <v>83</v>
      </c>
      <c r="F120" s="746"/>
      <c r="G120" s="749">
        <v>5000</v>
      </c>
      <c r="H120" s="746" t="s">
        <v>84</v>
      </c>
      <c r="I120" s="746"/>
      <c r="J120" s="729">
        <v>2020</v>
      </c>
      <c r="K120" s="746"/>
      <c r="L120" s="750">
        <f t="shared" si="2"/>
        <v>5000</v>
      </c>
      <c r="M120" s="746" t="s">
        <v>53</v>
      </c>
      <c r="N120" s="746"/>
      <c r="O120" s="746"/>
      <c r="P120" s="747"/>
      <c r="Q120" s="747"/>
    </row>
    <row r="121" spans="2:31" s="732" customFormat="1" ht="18" thickBot="1" x14ac:dyDescent="0.35">
      <c r="B121" s="745"/>
      <c r="C121" s="729" t="s">
        <v>723</v>
      </c>
      <c r="D121" s="528"/>
      <c r="E121" s="746" t="s">
        <v>152</v>
      </c>
      <c r="F121" s="746"/>
      <c r="G121" s="749">
        <v>1</v>
      </c>
      <c r="H121" s="746" t="s">
        <v>153</v>
      </c>
      <c r="I121" s="746"/>
      <c r="J121" s="729"/>
      <c r="K121" s="746"/>
      <c r="L121" s="750">
        <f t="shared" si="0"/>
        <v>0</v>
      </c>
      <c r="M121" s="746" t="s">
        <v>53</v>
      </c>
      <c r="N121" s="746"/>
      <c r="O121" s="746"/>
      <c r="P121" s="747"/>
      <c r="Q121" s="747"/>
    </row>
    <row r="122" spans="2:31" s="732" customFormat="1" ht="18" thickBot="1" x14ac:dyDescent="0.35">
      <c r="B122" s="745"/>
      <c r="C122" s="729" t="s">
        <v>723</v>
      </c>
      <c r="D122" s="528"/>
      <c r="E122" s="746" t="s">
        <v>152</v>
      </c>
      <c r="F122" s="746"/>
      <c r="G122" s="749">
        <v>1</v>
      </c>
      <c r="H122" s="746" t="s">
        <v>153</v>
      </c>
      <c r="I122" s="746"/>
      <c r="J122" s="729"/>
      <c r="K122" s="746"/>
      <c r="L122" s="750">
        <f t="shared" si="0"/>
        <v>0</v>
      </c>
      <c r="M122" s="746" t="s">
        <v>53</v>
      </c>
      <c r="N122" s="746"/>
      <c r="O122" s="746"/>
      <c r="P122" s="747"/>
      <c r="Q122" s="747"/>
    </row>
    <row r="123" spans="2:31" s="732" customFormat="1" ht="18" thickBot="1" x14ac:dyDescent="0.35">
      <c r="B123" s="745"/>
      <c r="C123" s="729" t="s">
        <v>723</v>
      </c>
      <c r="D123" s="528"/>
      <c r="E123" s="746" t="s">
        <v>152</v>
      </c>
      <c r="F123" s="746"/>
      <c r="G123" s="749">
        <v>1</v>
      </c>
      <c r="H123" s="746" t="s">
        <v>153</v>
      </c>
      <c r="I123" s="746"/>
      <c r="J123" s="729"/>
      <c r="K123" s="746"/>
      <c r="L123" s="750">
        <f t="shared" si="0"/>
        <v>0</v>
      </c>
      <c r="M123" s="746" t="s">
        <v>53</v>
      </c>
      <c r="N123" s="746"/>
      <c r="O123" s="746"/>
      <c r="P123" s="747"/>
      <c r="Q123" s="747"/>
    </row>
    <row r="124" spans="2:31" x14ac:dyDescent="0.3">
      <c r="B124" s="177"/>
      <c r="C124" s="178"/>
      <c r="D124" s="526"/>
      <c r="E124" s="178"/>
      <c r="F124" s="178"/>
      <c r="G124" s="525"/>
      <c r="H124" s="178"/>
      <c r="I124" s="178"/>
      <c r="J124" s="178"/>
      <c r="K124" s="178"/>
      <c r="L124" s="178"/>
      <c r="M124" s="178"/>
      <c r="N124" s="178"/>
      <c r="O124" s="178"/>
      <c r="P124" s="178"/>
      <c r="Q124" s="520"/>
      <c r="R124" s="732"/>
      <c r="S124" s="732"/>
      <c r="T124" s="732"/>
      <c r="U124" s="732"/>
      <c r="V124" s="732"/>
      <c r="W124" s="732"/>
      <c r="X124" s="732"/>
      <c r="Y124" s="732"/>
      <c r="Z124" s="732"/>
      <c r="AA124" s="732"/>
      <c r="AB124" s="732"/>
      <c r="AC124" s="732"/>
      <c r="AD124" s="732"/>
      <c r="AE124" s="732"/>
    </row>
    <row r="125" spans="2:31" x14ac:dyDescent="0.3">
      <c r="B125" s="177" t="s">
        <v>160</v>
      </c>
      <c r="C125" s="178"/>
      <c r="D125" s="526"/>
      <c r="E125" s="178"/>
      <c r="F125" s="178"/>
      <c r="G125" s="525"/>
      <c r="H125" s="178"/>
      <c r="I125" s="178"/>
      <c r="J125" s="178"/>
      <c r="K125" s="178"/>
      <c r="L125" s="178"/>
      <c r="M125" s="178"/>
      <c r="N125" s="178"/>
      <c r="O125" s="178"/>
      <c r="P125" s="178"/>
      <c r="Q125" s="520"/>
      <c r="R125" s="732"/>
      <c r="S125" s="732"/>
      <c r="T125" s="732"/>
      <c r="U125" s="732"/>
      <c r="V125" s="732"/>
      <c r="W125" s="732"/>
      <c r="X125" s="732"/>
      <c r="Y125" s="732"/>
      <c r="Z125" s="732"/>
      <c r="AA125" s="732"/>
      <c r="AB125" s="732"/>
      <c r="AD125" s="732"/>
      <c r="AE125" s="732"/>
    </row>
    <row r="126" spans="2:31" ht="18" thickBot="1" x14ac:dyDescent="0.35">
      <c r="B126" s="177"/>
      <c r="C126" s="178"/>
      <c r="D126" s="178" t="s">
        <v>158</v>
      </c>
      <c r="E126" s="178"/>
      <c r="F126" s="178"/>
      <c r="G126" s="178" t="s">
        <v>159</v>
      </c>
      <c r="H126" s="178"/>
      <c r="I126" s="178"/>
      <c r="J126" s="215" t="s">
        <v>157</v>
      </c>
      <c r="K126" s="178"/>
      <c r="L126" s="178" t="s">
        <v>156</v>
      </c>
      <c r="M126" s="178"/>
      <c r="N126" s="178"/>
      <c r="O126" s="178"/>
      <c r="P126" s="178"/>
      <c r="Q126" s="520"/>
      <c r="R126" s="732"/>
      <c r="S126" s="732"/>
      <c r="T126" s="732"/>
      <c r="U126" s="732"/>
      <c r="V126" s="732"/>
      <c r="W126" s="732"/>
      <c r="X126" s="732"/>
      <c r="Y126" s="732"/>
      <c r="Z126" s="732"/>
      <c r="AA126" s="732"/>
      <c r="AB126" s="732"/>
    </row>
    <row r="127" spans="2:31" ht="18" thickBot="1" x14ac:dyDescent="0.35">
      <c r="B127" s="177"/>
      <c r="C127" s="94" t="s">
        <v>162</v>
      </c>
      <c r="D127" s="216">
        <v>3000</v>
      </c>
      <c r="E127" s="178" t="s">
        <v>14</v>
      </c>
      <c r="F127" s="178"/>
      <c r="G127" s="197">
        <v>20</v>
      </c>
      <c r="H127" s="178" t="s">
        <v>0</v>
      </c>
      <c r="I127" s="178"/>
      <c r="J127" s="94">
        <v>1975</v>
      </c>
      <c r="K127" s="178"/>
      <c r="L127" s="527">
        <f>D127*G127</f>
        <v>60000</v>
      </c>
      <c r="M127" s="178" t="s">
        <v>53</v>
      </c>
      <c r="N127" s="178"/>
      <c r="O127" s="178"/>
      <c r="P127" s="178"/>
      <c r="Q127" s="520"/>
      <c r="R127" s="732"/>
      <c r="S127" s="732"/>
      <c r="T127" s="732"/>
      <c r="U127" s="732"/>
      <c r="V127" s="732"/>
      <c r="W127" s="732"/>
      <c r="X127" s="732"/>
      <c r="Y127" s="732"/>
      <c r="Z127" s="732"/>
      <c r="AA127" s="732"/>
      <c r="AB127" s="732"/>
    </row>
    <row r="128" spans="2:31" x14ac:dyDescent="0.3">
      <c r="B128" s="179"/>
      <c r="C128" s="218"/>
      <c r="D128" s="218"/>
      <c r="E128" s="218"/>
      <c r="F128" s="218"/>
      <c r="G128" s="218"/>
      <c r="H128" s="218"/>
      <c r="I128" s="218"/>
      <c r="J128" s="218"/>
      <c r="K128" s="218"/>
      <c r="L128" s="218"/>
      <c r="M128" s="218"/>
      <c r="N128" s="218"/>
      <c r="O128" s="218"/>
      <c r="P128" s="180"/>
      <c r="Q128" s="181"/>
      <c r="R128" s="732"/>
      <c r="S128" s="732"/>
      <c r="T128" s="732"/>
      <c r="U128" s="732"/>
      <c r="V128" s="732"/>
      <c r="W128" s="732"/>
      <c r="X128" s="732"/>
      <c r="Y128" s="732"/>
      <c r="Z128" s="732"/>
      <c r="AA128" s="732"/>
      <c r="AB128" s="732"/>
    </row>
    <row r="129" spans="2:28" x14ac:dyDescent="0.3">
      <c r="R129" s="732"/>
      <c r="S129" s="732"/>
      <c r="T129" s="732"/>
      <c r="U129" s="732"/>
      <c r="V129" s="732"/>
      <c r="W129" s="732"/>
      <c r="X129" s="732"/>
      <c r="Y129" s="732"/>
      <c r="Z129" s="732"/>
      <c r="AA129" s="732"/>
      <c r="AB129" s="732"/>
    </row>
    <row r="130" spans="2:28" x14ac:dyDescent="0.3">
      <c r="R130" s="732"/>
      <c r="S130" s="732"/>
      <c r="T130" s="732"/>
      <c r="U130" s="732"/>
      <c r="V130" s="732"/>
      <c r="W130" s="732"/>
      <c r="X130" s="732"/>
      <c r="Y130" s="732"/>
      <c r="Z130" s="732"/>
      <c r="AA130" s="732"/>
      <c r="AB130" s="732"/>
    </row>
    <row r="131" spans="2:28" ht="25.2" thickBot="1" x14ac:dyDescent="0.45">
      <c r="B131" s="925" t="s">
        <v>155</v>
      </c>
      <c r="C131" s="926"/>
      <c r="D131" s="182"/>
      <c r="E131" s="182"/>
      <c r="F131" s="182"/>
      <c r="G131" s="182"/>
      <c r="H131" s="182"/>
      <c r="I131" s="182"/>
      <c r="J131" s="182"/>
      <c r="K131" s="182"/>
      <c r="L131" s="182"/>
      <c r="M131" s="182"/>
      <c r="N131" s="182"/>
      <c r="O131" s="182"/>
      <c r="P131" s="182"/>
      <c r="Q131" s="183"/>
      <c r="R131" s="732"/>
      <c r="S131" s="732"/>
      <c r="T131" s="732"/>
      <c r="U131" s="732"/>
      <c r="V131" s="732"/>
      <c r="W131" s="732"/>
      <c r="X131" s="732"/>
      <c r="Y131" s="732"/>
      <c r="Z131" s="732"/>
      <c r="AA131" s="732"/>
      <c r="AB131" s="732"/>
    </row>
    <row r="132" spans="2:28" ht="22.95" customHeight="1" x14ac:dyDescent="0.25">
      <c r="B132" s="184"/>
      <c r="C132" s="185"/>
      <c r="D132" s="185"/>
      <c r="E132" s="185"/>
      <c r="F132" s="185"/>
      <c r="G132" s="185"/>
      <c r="H132" s="185"/>
      <c r="I132" s="186"/>
      <c r="J132" s="186"/>
      <c r="K132" s="186"/>
      <c r="L132" s="186"/>
      <c r="M132" s="186"/>
      <c r="N132" s="186"/>
      <c r="O132" s="186"/>
      <c r="P132" s="186"/>
      <c r="Q132" s="187"/>
      <c r="R132" s="732"/>
      <c r="S132" s="732"/>
      <c r="T132" s="732"/>
      <c r="U132" s="732"/>
      <c r="V132" s="732"/>
      <c r="W132" s="732"/>
      <c r="X132" s="732"/>
      <c r="Y132" s="732"/>
      <c r="Z132" s="732"/>
      <c r="AA132" s="732"/>
      <c r="AB132" s="732"/>
    </row>
    <row r="133" spans="2:28" ht="22.95" customHeight="1" x14ac:dyDescent="0.3">
      <c r="B133" s="188" t="s">
        <v>184</v>
      </c>
      <c r="C133" s="185"/>
      <c r="D133" s="185"/>
      <c r="E133" s="185"/>
      <c r="F133" s="185"/>
      <c r="G133" s="185"/>
      <c r="H133" s="185"/>
      <c r="I133" s="186"/>
      <c r="J133" s="186"/>
      <c r="K133" s="186"/>
      <c r="L133" s="186"/>
      <c r="M133" s="186"/>
      <c r="N133" s="186"/>
      <c r="O133" s="186"/>
      <c r="P133" s="186"/>
      <c r="Q133" s="187"/>
      <c r="U133" s="732"/>
      <c r="V133" s="732"/>
      <c r="W133" s="732"/>
      <c r="X133" s="732"/>
      <c r="Y133" s="732"/>
      <c r="Z133" s="732"/>
      <c r="AA133" s="732"/>
      <c r="AB133" s="732"/>
    </row>
    <row r="134" spans="2:28" ht="13.8" thickBot="1" x14ac:dyDescent="0.3">
      <c r="B134" s="189"/>
      <c r="C134" s="185"/>
      <c r="D134" s="186"/>
      <c r="E134" s="186"/>
      <c r="F134" s="186"/>
      <c r="G134" s="186"/>
      <c r="H134" s="186"/>
      <c r="I134" s="186"/>
      <c r="J134" s="186"/>
      <c r="K134" s="186"/>
      <c r="L134" s="186"/>
      <c r="M134" s="186"/>
      <c r="N134" s="186"/>
      <c r="O134" s="186"/>
      <c r="P134" s="186"/>
      <c r="Q134" s="187"/>
      <c r="U134" s="732"/>
      <c r="V134" s="732"/>
      <c r="W134" s="732"/>
      <c r="X134" s="732"/>
      <c r="Y134" s="732"/>
      <c r="Z134" s="732"/>
      <c r="AA134" s="732"/>
      <c r="AB134" s="732"/>
    </row>
    <row r="135" spans="2:28" ht="18" thickBot="1" x14ac:dyDescent="0.35">
      <c r="B135" s="188"/>
      <c r="C135" s="190" t="s">
        <v>185</v>
      </c>
      <c r="D135" s="186"/>
      <c r="E135" s="186"/>
      <c r="F135" s="186"/>
      <c r="G135" s="829">
        <v>3000</v>
      </c>
      <c r="H135" s="190" t="s">
        <v>154</v>
      </c>
      <c r="I135" s="186"/>
      <c r="J135" s="186"/>
      <c r="K135" s="186"/>
      <c r="L135" s="186"/>
      <c r="M135" s="186"/>
      <c r="N135" s="186"/>
      <c r="O135" s="186"/>
      <c r="P135" s="186"/>
      <c r="Q135" s="187"/>
    </row>
    <row r="136" spans="2:28" ht="18" thickBot="1" x14ac:dyDescent="0.35">
      <c r="B136" s="188"/>
      <c r="C136" s="190" t="s">
        <v>186</v>
      </c>
      <c r="D136" s="186"/>
      <c r="E136" s="186"/>
      <c r="F136" s="186"/>
      <c r="G136" s="830">
        <v>200</v>
      </c>
      <c r="H136" s="190" t="s">
        <v>154</v>
      </c>
      <c r="I136" s="186"/>
      <c r="J136" s="186"/>
      <c r="K136" s="186"/>
      <c r="L136" s="186"/>
      <c r="M136" s="186"/>
      <c r="N136" s="186"/>
      <c r="O136" s="186"/>
      <c r="P136" s="186"/>
      <c r="Q136" s="187"/>
    </row>
    <row r="137" spans="2:28" ht="18" thickBot="1" x14ac:dyDescent="0.35">
      <c r="B137" s="188"/>
      <c r="C137" s="190" t="s">
        <v>187</v>
      </c>
      <c r="D137" s="186"/>
      <c r="E137" s="186"/>
      <c r="F137" s="186"/>
      <c r="G137" s="830">
        <v>200</v>
      </c>
      <c r="H137" s="190" t="s">
        <v>154</v>
      </c>
      <c r="I137" s="186"/>
      <c r="J137" s="186"/>
      <c r="K137" s="186"/>
      <c r="L137" s="186"/>
      <c r="M137" s="186"/>
      <c r="N137" s="186"/>
      <c r="O137" s="186"/>
      <c r="P137" s="186"/>
      <c r="Q137" s="187"/>
    </row>
    <row r="138" spans="2:28" ht="18" thickBot="1" x14ac:dyDescent="0.35">
      <c r="B138" s="188"/>
      <c r="C138" s="190" t="s">
        <v>188</v>
      </c>
      <c r="D138" s="186"/>
      <c r="E138" s="186"/>
      <c r="F138" s="186"/>
      <c r="G138" s="830">
        <v>1500</v>
      </c>
      <c r="H138" s="190" t="s">
        <v>154</v>
      </c>
      <c r="I138" s="186"/>
      <c r="J138" s="186"/>
      <c r="K138" s="186"/>
      <c r="L138" s="186"/>
      <c r="M138" s="186"/>
      <c r="N138" s="186"/>
      <c r="O138" s="186"/>
      <c r="P138" s="186"/>
      <c r="Q138" s="187"/>
    </row>
    <row r="139" spans="2:28" ht="18" thickBot="1" x14ac:dyDescent="0.35">
      <c r="B139" s="188"/>
      <c r="C139" s="190" t="s">
        <v>189</v>
      </c>
      <c r="D139" s="186"/>
      <c r="E139" s="186"/>
      <c r="F139" s="186"/>
      <c r="G139" s="830">
        <v>200</v>
      </c>
      <c r="H139" s="190" t="s">
        <v>154</v>
      </c>
      <c r="I139" s="186"/>
      <c r="J139" s="186"/>
      <c r="K139" s="186"/>
      <c r="L139" s="186"/>
      <c r="M139" s="186"/>
      <c r="N139" s="186"/>
      <c r="O139" s="186"/>
      <c r="P139" s="186"/>
      <c r="Q139" s="187"/>
    </row>
    <row r="140" spans="2:28" ht="18" thickBot="1" x14ac:dyDescent="0.35">
      <c r="B140" s="188"/>
      <c r="C140" s="190" t="s">
        <v>190</v>
      </c>
      <c r="D140" s="186"/>
      <c r="E140" s="186"/>
      <c r="F140" s="186"/>
      <c r="G140" s="830">
        <v>100</v>
      </c>
      <c r="H140" s="190" t="s">
        <v>154</v>
      </c>
      <c r="I140" s="186"/>
      <c r="J140" s="186"/>
      <c r="K140" s="186"/>
      <c r="L140" s="186"/>
      <c r="M140" s="186"/>
      <c r="N140" s="186"/>
      <c r="O140" s="186"/>
      <c r="P140" s="186"/>
      <c r="Q140" s="187"/>
    </row>
    <row r="141" spans="2:28" ht="18" thickBot="1" x14ac:dyDescent="0.35">
      <c r="B141" s="188"/>
      <c r="C141" s="190" t="s">
        <v>191</v>
      </c>
      <c r="D141" s="186"/>
      <c r="E141" s="186"/>
      <c r="F141" s="186"/>
      <c r="G141" s="830">
        <v>1000</v>
      </c>
      <c r="H141" s="190" t="s">
        <v>154</v>
      </c>
      <c r="I141" s="186"/>
      <c r="J141" s="186"/>
      <c r="K141" s="186"/>
      <c r="L141" s="186"/>
      <c r="M141" s="186"/>
      <c r="N141" s="186"/>
      <c r="O141" s="186"/>
      <c r="P141" s="186"/>
      <c r="Q141" s="187"/>
    </row>
    <row r="142" spans="2:28" ht="18" thickBot="1" x14ac:dyDescent="0.35">
      <c r="B142" s="188"/>
      <c r="C142" s="190" t="s">
        <v>192</v>
      </c>
      <c r="D142" s="186"/>
      <c r="E142" s="186"/>
      <c r="F142" s="186"/>
      <c r="G142" s="830">
        <v>1500</v>
      </c>
      <c r="H142" s="190" t="s">
        <v>154</v>
      </c>
      <c r="I142" s="186"/>
      <c r="J142" s="186"/>
      <c r="K142" s="186"/>
      <c r="L142" s="186"/>
      <c r="M142" s="186"/>
      <c r="N142" s="186"/>
      <c r="O142" s="186"/>
      <c r="P142" s="186"/>
      <c r="Q142" s="187"/>
    </row>
    <row r="143" spans="2:28" ht="18" thickBot="1" x14ac:dyDescent="0.35">
      <c r="B143" s="188"/>
      <c r="C143" s="190" t="s">
        <v>193</v>
      </c>
      <c r="D143" s="186"/>
      <c r="E143" s="186"/>
      <c r="F143" s="186"/>
      <c r="G143" s="830">
        <v>2000</v>
      </c>
      <c r="H143" s="190" t="s">
        <v>154</v>
      </c>
      <c r="I143" s="186"/>
      <c r="J143" s="186"/>
      <c r="K143" s="186"/>
      <c r="L143" s="186"/>
      <c r="M143" s="186"/>
      <c r="N143" s="186"/>
      <c r="O143" s="186"/>
      <c r="P143" s="186"/>
      <c r="Q143" s="187"/>
    </row>
    <row r="144" spans="2:28" ht="18" thickBot="1" x14ac:dyDescent="0.35">
      <c r="B144" s="188"/>
      <c r="C144" s="190" t="s">
        <v>194</v>
      </c>
      <c r="D144" s="186"/>
      <c r="E144" s="186"/>
      <c r="F144" s="186"/>
      <c r="G144" s="830">
        <v>1500</v>
      </c>
      <c r="H144" s="190" t="s">
        <v>154</v>
      </c>
      <c r="I144" s="186"/>
      <c r="J144" s="186"/>
      <c r="K144" s="186"/>
      <c r="L144" s="186"/>
      <c r="M144" s="186"/>
      <c r="N144" s="186"/>
      <c r="O144" s="186"/>
      <c r="P144" s="186"/>
      <c r="Q144" s="187"/>
    </row>
    <row r="145" spans="2:17" ht="18" thickBot="1" x14ac:dyDescent="0.35">
      <c r="B145" s="188"/>
      <c r="C145" s="190" t="s">
        <v>195</v>
      </c>
      <c r="D145" s="186"/>
      <c r="E145" s="186"/>
      <c r="F145" s="186"/>
      <c r="G145" s="830"/>
      <c r="H145" s="190" t="s">
        <v>154</v>
      </c>
      <c r="I145" s="186"/>
      <c r="J145" s="186"/>
      <c r="K145" s="186"/>
      <c r="L145" s="186"/>
      <c r="M145" s="186"/>
      <c r="N145" s="186"/>
      <c r="O145" s="186"/>
      <c r="P145" s="186"/>
      <c r="Q145" s="187"/>
    </row>
    <row r="146" spans="2:17" ht="18" thickBot="1" x14ac:dyDescent="0.35">
      <c r="B146" s="188"/>
      <c r="C146" s="190" t="s">
        <v>195</v>
      </c>
      <c r="D146" s="186"/>
      <c r="E146" s="186"/>
      <c r="F146" s="186"/>
      <c r="G146" s="830"/>
      <c r="H146" s="190" t="s">
        <v>154</v>
      </c>
      <c r="I146" s="186"/>
      <c r="J146" s="186"/>
      <c r="K146" s="186"/>
      <c r="L146" s="186"/>
      <c r="M146" s="186"/>
      <c r="N146" s="186"/>
      <c r="O146" s="186"/>
      <c r="P146" s="186"/>
      <c r="Q146" s="187"/>
    </row>
    <row r="147" spans="2:17" ht="18" x14ac:dyDescent="0.35">
      <c r="B147" s="188"/>
      <c r="C147" s="333" t="s">
        <v>196</v>
      </c>
      <c r="D147" s="186"/>
      <c r="E147" s="186"/>
      <c r="F147" s="186"/>
      <c r="G147" s="335">
        <f>SUM(G135:G146)</f>
        <v>11200</v>
      </c>
      <c r="H147" s="190" t="s">
        <v>154</v>
      </c>
      <c r="I147" s="186"/>
      <c r="J147" s="186"/>
      <c r="K147" s="186"/>
      <c r="L147" s="186"/>
      <c r="M147" s="186"/>
      <c r="N147" s="186"/>
      <c r="O147" s="186"/>
      <c r="P147" s="186"/>
      <c r="Q147" s="187"/>
    </row>
    <row r="148" spans="2:17" x14ac:dyDescent="0.3">
      <c r="B148" s="191"/>
      <c r="C148" s="192"/>
      <c r="D148" s="192"/>
      <c r="E148" s="192"/>
      <c r="F148" s="192"/>
      <c r="G148" s="192"/>
      <c r="H148" s="192"/>
      <c r="I148" s="192"/>
      <c r="J148" s="192"/>
      <c r="K148" s="192"/>
      <c r="L148" s="192"/>
      <c r="M148" s="192"/>
      <c r="N148" s="192"/>
      <c r="O148" s="192"/>
      <c r="P148" s="192"/>
      <c r="Q148" s="193"/>
    </row>
  </sheetData>
  <mergeCells count="31">
    <mergeCell ref="G51:H51"/>
    <mergeCell ref="B47:Q47"/>
    <mergeCell ref="B101:C101"/>
    <mergeCell ref="B131:C131"/>
    <mergeCell ref="B54:C54"/>
    <mergeCell ref="B56:M56"/>
    <mergeCell ref="B58:M58"/>
    <mergeCell ref="B73:C73"/>
    <mergeCell ref="B60:C60"/>
    <mergeCell ref="G104:H104"/>
    <mergeCell ref="B26:C26"/>
    <mergeCell ref="B27:C27"/>
    <mergeCell ref="B28:C28"/>
    <mergeCell ref="G49:H49"/>
    <mergeCell ref="G50:H50"/>
    <mergeCell ref="B4:K4"/>
    <mergeCell ref="B21:N21"/>
    <mergeCell ref="B102:M102"/>
    <mergeCell ref="K42:N43"/>
    <mergeCell ref="D20:E20"/>
    <mergeCell ref="G20:H20"/>
    <mergeCell ref="D30:E30"/>
    <mergeCell ref="G30:H30"/>
    <mergeCell ref="B33:C33"/>
    <mergeCell ref="B74:L74"/>
    <mergeCell ref="B61:L61"/>
    <mergeCell ref="B31:C31"/>
    <mergeCell ref="B32:C32"/>
    <mergeCell ref="G9:H9"/>
    <mergeCell ref="D9:E9"/>
    <mergeCell ref="B25:C25"/>
  </mergeCells>
  <phoneticPr fontId="2" type="noConversion"/>
  <hyperlinks>
    <hyperlink ref="B22" location="'Jordgubbe friland'!A1" display="JORDGUBBE FRILAND" xr:uid="{87184E76-72A8-DD46-A580-F432D6C1F434}"/>
    <hyperlink ref="B23" location="'Jordgubbe tunnel'!A1" display="JORDGUBBE TUNNEL" xr:uid="{90E84470-D900-2748-84A8-C9E6A72F7F00}"/>
    <hyperlink ref="B24" location="'Hallon friland'!A1" display="HALLON FRILAND" xr:uid="{22A4CD12-660E-1A4E-A0D9-E066E0EC14BB}"/>
    <hyperlink ref="B27" location="Pensasmustikka!A1" display="PENSASMUSTIKKA" xr:uid="{3AD56C78-2940-BD48-840C-402130B5008E}"/>
    <hyperlink ref="B28" location="Omena!A1" display="OMENA" xr:uid="{C68C9C04-24F6-2643-8F0B-B785062C6F8D}"/>
    <hyperlink ref="B60" location="Omaisuus!A1" display="RAKENNUKSET" xr:uid="{5778B9D3-BF09-DF43-952F-96E45E6CDC49}"/>
    <hyperlink ref="B73" location="Omaisuus!A1" display="KONEET JA KALUSTO" xr:uid="{1CDFBCE7-BE50-7048-917E-335FC27DC7FE}"/>
    <hyperlink ref="B101" location="Omaisuus!A1" display="PIDEMPIAIKAISET TUOTANTOVÄLINEET" xr:uid="{79DAE0FD-9892-5F47-B239-4149BBEA1CC0}"/>
    <hyperlink ref="B45" location="Tuet!A1" display="TUET" xr:uid="{87EF796A-D4DA-C84E-85E7-E7963AF4323C}"/>
    <hyperlink ref="B10" location="Morot!A1" display="MOROT" xr:uid="{6CB777BA-F982-074F-868D-494A3F7D6C76}"/>
    <hyperlink ref="B11" location="Kål!A1" display="KÅL" xr:uid="{22BA9656-4258-AC4F-8A48-7ECD046303C9}"/>
    <hyperlink ref="B12" location="Lök!A1" display="LÖK" xr:uid="{841F3735-472D-1D4A-87E1-FFB4CEBB6B52}"/>
    <hyperlink ref="B31:C31" location="Havre!A1" display="HAVRE" xr:uid="{8A175450-E509-F342-A1AE-2511F6FB459D}"/>
    <hyperlink ref="B32:C32" location="Korn!A1" display="KORN" xr:uid="{5FA56D26-77EF-A34D-AE6B-1B7EE75BFC1C}"/>
    <hyperlink ref="B33:C33" location="Vete!A1" display="VETE" xr:uid="{86756E2E-4C0D-9C42-817F-4D463C46374C}"/>
    <hyperlink ref="B35" location="Naturvårdsåker!A1" display="NATURVÅRDSÅKER" xr:uid="{6C9CAC2F-59D0-5C4A-B804-E292CF12CED2}"/>
    <hyperlink ref="B36" location="Vall!A1" display="VALL" xr:uid="{21F0A031-223D-AD49-8ADA-96691A6D3459}"/>
    <hyperlink ref="B13" location="Trädgårdsärt!A1" display="TRÄDGÅRDSÅRT" xr:uid="{6D21C30A-C27C-C747-B7B5-86009A8D2396}"/>
    <hyperlink ref="B34" location="Höstråg!A1" display="HÖSTRÅG" xr:uid="{846D3A25-7D12-5C47-B3A1-9BF758E62109}"/>
    <hyperlink ref="B14" location="'Planterad grönsak 1'!A1" display="GRÖNSAK FRÅN FRÖ 1" xr:uid="{F3B40BD9-2C26-6248-8B80-A4F822C5AF4B}"/>
    <hyperlink ref="B15" location="'Grönsak från frö 2'!A1" display="GRÖNSAK FRÅN FRÖ 2" xr:uid="{4800F554-CA8A-F841-BE87-F3BB4DBC2D8E}"/>
    <hyperlink ref="R17" location="'Tilan tiedot'!B22" display="AVOMAAN MANSIKKA" xr:uid="{5F3AFBC8-E801-854D-9308-EEAD5BFBEC18}"/>
    <hyperlink ref="R20" location="'Tilan tiedot'!B23" display="TUNNELIMANSIKKA" xr:uid="{98A06EF7-24FA-E447-AD87-EF28FA1F5FAF}"/>
    <hyperlink ref="R21" location="Tunnelimansikka!A1" display="Tunnelimansikka!A1" xr:uid="{7F2B32D7-5838-8145-A494-A705FAEB8CF6}"/>
    <hyperlink ref="R23" location="'Tilan tiedot'!B24" display="AVOMAAN VADELMA" xr:uid="{71FC767C-B040-D340-A835-1EF575804CD4}"/>
    <hyperlink ref="R26" location="Tunnelivaldelma!A1" display="TUNNELIVADELMA" xr:uid="{DE5F973D-EB2B-C949-816E-C13482CF8913}"/>
    <hyperlink ref="R27" location="Tunnelivaldelma!A1" display="TUNNELIVADELMA" xr:uid="{6F8642B1-749F-A94A-BA28-D0F0AC967330}"/>
    <hyperlink ref="R24" location="'Avomaan vadelma'!A1" display="AVOMAAN VADELMA" xr:uid="{A8249E30-479B-3144-A05B-A3B0BC8B37BD}"/>
    <hyperlink ref="B26" location="Mustaherukka!A1" display="MUSTAHERUKKA" xr:uid="{DFDAADF9-8AA0-3C40-A92A-51A65498B09D}"/>
    <hyperlink ref="B25" location="Tunnelivaldelma!A1" display="TUNNELIVADELMA" xr:uid="{9D494647-FD97-1D43-AE8E-2043CA85D1C3}"/>
    <hyperlink ref="R35" location="'Tilan tiedot'!B28" display="OMENA" xr:uid="{431AAAF1-96CC-9A43-90DC-A922446A1423}"/>
    <hyperlink ref="R32" location="'Tilan tiedot'!B27" display="PENSASMUSTIKKA" xr:uid="{E84E5B7B-4593-1F45-99B2-4C0BF4BAFAFD}"/>
    <hyperlink ref="R29" location="'Tilan tiedot'!B26" display="MUSTAHERUKKA" xr:uid="{E8B41363-F2D0-5A4F-9CA7-0F9F4E373F1F}"/>
    <hyperlink ref="A22" location="'Tilan tiedot'!U17" display="☆" xr:uid="{B4F6B272-48C1-7345-8B80-3657CF859398}"/>
    <hyperlink ref="A23" location="'Tilan tiedot'!U20" display="☆" xr:uid="{351CB561-7C86-9345-B705-8AAC241BB8C4}"/>
    <hyperlink ref="A24" location="'Tilan tiedot'!U23" display="☆" xr:uid="{B01C0946-2EC8-EA48-9C55-EC78F94377FC}"/>
    <hyperlink ref="A25" location="'Tilan tiedot'!U26" display="☆" xr:uid="{87D021B7-F049-8745-BC84-4F12287895DB}"/>
    <hyperlink ref="A26" location="'Tilan tiedot'!U29" display="☆" xr:uid="{7A423B3C-C560-8D45-8AA3-27C21598C48B}"/>
    <hyperlink ref="A27" location="'Tilan tiedot'!U32" display="☆" xr:uid="{D16396BE-3AFB-7840-B8F9-FBA1ADE0A7EE}"/>
    <hyperlink ref="A28" location="'Tilan tiedot'!U35" display="☆" xr:uid="{89D5DB24-77DB-C847-A534-6002F8F7062F}"/>
    <hyperlink ref="B16" location="'Planterad grönsak 1'!A1" display="GRÖNSAK PLANTERAD 1" xr:uid="{D7B86680-ED0E-4F7F-BEE9-6BF8540E8492}"/>
    <hyperlink ref="B17" location="'Planterad grönsak 2'!A1" display="GRÖNSAK PLANTERAD 2" xr:uid="{FC902BEE-C9DD-46BA-9B6A-80C4323ADE82}"/>
    <hyperlink ref="B18" location="'Planterad grönsak 3'!A1" display="GRÖNSAK PLANTERAD 3" xr:uid="{19120AC7-8BEC-46A4-97B3-7EE8F4096578}"/>
    <hyperlink ref="B25:C25" location="'Hallon tunnel'!A1" display="HALLON TUNNEL" xr:uid="{C26188CC-3C9A-452D-8CAB-919ECAE1E2DA}"/>
    <hyperlink ref="B26:C26" location="'Svarta vinbär'!A1" display="SVARTA VINBÄR" xr:uid="{920D9F31-25BD-4D29-A03B-9985D4BDF546}"/>
    <hyperlink ref="B27:C27" location="Buskblåbär!A1" display="BUSKBLÅBÄR" xr:uid="{710A29D7-9D63-4EA0-812E-91A4F98F2E99}"/>
    <hyperlink ref="B28:C28" location="Äpple!A1" display="ÄPPLE" xr:uid="{38F0DE57-C04D-4C9E-A36D-FC407389A494}"/>
  </hyperlinks>
  <pageMargins left="0.7" right="0.7" top="0.75" bottom="0.75" header="0.3" footer="0.3"/>
  <pageSetup paperSize="9" orientation="portrait" verticalDpi="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7EAC44CB-C541-974E-B3ED-C1980A49C6C2}">
          <x14:formula1>
            <xm:f>Stöd!$Q$4:$Q$5</xm:f>
          </x14:formula1>
          <xm:sqref>G50</xm:sqref>
        </x14:dataValidation>
        <x14:dataValidation type="list" allowBlank="1" showInputMessage="1" showErrorMessage="1" xr:uid="{041A7B9A-60E9-E347-A355-91592B890A29}">
          <x14:formula1>
            <xm:f>Stöd!$R$4:$R$5</xm:f>
          </x14:formula1>
          <xm:sqref>G51:G52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F6C507-3E5E-1D41-BC12-DF8FCC7CA056}">
  <sheetPr>
    <tabColor theme="2" tint="-9.9978637043366805E-2"/>
  </sheetPr>
  <dimension ref="A1:AC153"/>
  <sheetViews>
    <sheetView zoomScaleNormal="100" workbookViewId="0">
      <selection activeCell="B2" sqref="B2:C2"/>
    </sheetView>
  </sheetViews>
  <sheetFormatPr defaultColWidth="11.44140625" defaultRowHeight="13.2" x14ac:dyDescent="0.25"/>
  <cols>
    <col min="1" max="1" width="5.33203125" style="84" customWidth="1"/>
    <col min="3" max="3" width="16.77734375" customWidth="1"/>
    <col min="4" max="4" width="22.6640625" customWidth="1"/>
    <col min="5" max="5" width="12.109375" bestFit="1" customWidth="1"/>
    <col min="6" max="6" width="20.6640625" bestFit="1" customWidth="1"/>
    <col min="7" max="7" width="6.33203125" customWidth="1"/>
    <col min="8" max="8" width="17.77734375" customWidth="1"/>
    <col min="9" max="9" width="6" customWidth="1"/>
    <col min="10" max="10" width="15.109375" customWidth="1"/>
    <col min="11" max="11" width="9.6640625" customWidth="1"/>
    <col min="12" max="12" width="20" customWidth="1"/>
    <col min="13" max="13" width="12.109375" customWidth="1"/>
    <col min="14" max="14" width="9.44140625" customWidth="1"/>
    <col min="15" max="15" width="6.77734375" customWidth="1"/>
    <col min="16" max="16" width="4.44140625" customWidth="1"/>
    <col min="17" max="17" width="15" customWidth="1"/>
    <col min="18" max="18" width="5.109375" customWidth="1"/>
    <col min="19" max="19" width="18.33203125" bestFit="1" customWidth="1"/>
    <col min="28" max="28" width="11.6640625" bestFit="1" customWidth="1"/>
    <col min="29" max="29" width="11" bestFit="1" customWidth="1"/>
  </cols>
  <sheetData>
    <row r="1" spans="1:13" s="84" customFormat="1" ht="22.8" x14ac:dyDescent="0.4">
      <c r="B1" s="611" t="s">
        <v>606</v>
      </c>
    </row>
    <row r="2" spans="1:13" ht="27" customHeight="1" x14ac:dyDescent="0.3">
      <c r="B2" s="976" t="s">
        <v>337</v>
      </c>
      <c r="C2" s="976"/>
      <c r="F2" s="91"/>
      <c r="G2" s="91"/>
      <c r="H2" s="91"/>
    </row>
    <row r="3" spans="1:13" ht="27" customHeight="1" x14ac:dyDescent="0.3">
      <c r="B3" s="233"/>
      <c r="C3" s="233"/>
    </row>
    <row r="4" spans="1:13" ht="60" customHeight="1" x14ac:dyDescent="0.3">
      <c r="B4" s="942" t="s">
        <v>236</v>
      </c>
      <c r="C4" s="942"/>
      <c r="D4" s="942"/>
      <c r="E4" s="942"/>
      <c r="F4" s="942"/>
      <c r="G4" s="942"/>
      <c r="H4" s="942"/>
      <c r="I4" s="942"/>
      <c r="J4" s="942"/>
      <c r="K4" s="942"/>
      <c r="L4" s="942"/>
    </row>
    <row r="5" spans="1:13" ht="27" customHeight="1" thickBot="1" x14ac:dyDescent="0.35">
      <c r="B5" s="233"/>
      <c r="C5" s="233"/>
    </row>
    <row r="6" spans="1:13" ht="27" customHeight="1" x14ac:dyDescent="0.4">
      <c r="B6" s="318" t="s">
        <v>612</v>
      </c>
      <c r="C6" s="282"/>
      <c r="D6" s="283"/>
      <c r="E6" s="283"/>
      <c r="F6" s="283"/>
      <c r="G6" s="283"/>
      <c r="H6" s="283"/>
      <c r="I6" s="283"/>
      <c r="J6" s="283"/>
      <c r="K6" s="283"/>
      <c r="L6" s="283"/>
      <c r="M6" s="284"/>
    </row>
    <row r="7" spans="1:13" ht="27" customHeight="1" x14ac:dyDescent="0.4">
      <c r="B7" s="285"/>
      <c r="C7" s="286"/>
      <c r="D7" s="148"/>
      <c r="E7" s="148"/>
      <c r="F7" s="148"/>
      <c r="G7" s="148"/>
      <c r="H7" s="148"/>
      <c r="I7" s="148"/>
      <c r="J7" s="148"/>
      <c r="K7" s="148"/>
      <c r="L7" s="148"/>
      <c r="M7" s="287"/>
    </row>
    <row r="8" spans="1:13" ht="21" x14ac:dyDescent="0.4">
      <c r="B8" s="319" t="s">
        <v>238</v>
      </c>
      <c r="C8" s="286"/>
      <c r="D8" s="148"/>
      <c r="E8" s="151"/>
      <c r="F8" s="151"/>
      <c r="G8" s="151"/>
      <c r="H8" s="151"/>
      <c r="I8" s="148"/>
      <c r="J8" s="148"/>
      <c r="K8" s="148"/>
      <c r="L8" s="148"/>
      <c r="M8" s="287"/>
    </row>
    <row r="9" spans="1:13" ht="21" customHeight="1" x14ac:dyDescent="0.25">
      <c r="B9" s="288"/>
      <c r="C9" s="289" t="s">
        <v>201</v>
      </c>
      <c r="D9" s="151"/>
      <c r="E9" s="151"/>
      <c r="F9" s="290">
        <f>H9*'Gårdens info'!G31</f>
        <v>945.00000000000011</v>
      </c>
      <c r="G9" s="151" t="s">
        <v>14</v>
      </c>
      <c r="H9" s="362">
        <v>0.27</v>
      </c>
      <c r="I9" s="151" t="s">
        <v>6</v>
      </c>
      <c r="J9" s="290">
        <f>F9*'Gårdens info'!D31</f>
        <v>2835.0000000000005</v>
      </c>
      <c r="K9" s="151" t="s">
        <v>615</v>
      </c>
      <c r="L9" s="151"/>
      <c r="M9" s="287"/>
    </row>
    <row r="10" spans="1:13" ht="15" x14ac:dyDescent="0.25">
      <c r="B10" s="288"/>
      <c r="C10" s="151" t="s">
        <v>224</v>
      </c>
      <c r="D10" s="151"/>
      <c r="E10" s="151"/>
      <c r="F10" s="290">
        <f>IF('Gårdens info'!D31&gt;0,Stöd!J6/'Gårdens info'!D37*Stöd!L6+Stöd!J7/'Gårdens info'!D37*Stöd!L7+Stöd!J8/'Gårdens info'!D37*Stöd!L8+Stöd!J12/'Gårdens info'!D37*Stöd!L12+Stöd!J13/'Gårdens info'!D37*Stöd!L13+Stöd!J15/'Gårdens info'!D37*Stöd!L15+Stöd!J16/'Gårdens info'!D37*Stöd!L16+Stöd!J18/'Gårdens info'!D37*Stöd!L18+Stöd!J19/'Gårdens info'!D37*Stöd!L19+Stöd!J20/'Gårdens info'!D37*Stöd!L20+Stöd!J21/'Gårdens info'!D37*Stöd!L21,0)</f>
        <v>0</v>
      </c>
      <c r="G10" s="151" t="s">
        <v>14</v>
      </c>
      <c r="H10" s="362">
        <f>IF('Gårdens info'!G31&gt;0,F10/'Gårdens info'!G31,0)</f>
        <v>0</v>
      </c>
      <c r="I10" s="151" t="s">
        <v>6</v>
      </c>
      <c r="J10" s="290">
        <f>F10*'Gårdens info'!D31</f>
        <v>0</v>
      </c>
      <c r="K10" s="151" t="s">
        <v>615</v>
      </c>
      <c r="L10" s="151"/>
      <c r="M10" s="287"/>
    </row>
    <row r="11" spans="1:13" s="8" customFormat="1" ht="21" customHeight="1" x14ac:dyDescent="0.4">
      <c r="A11" s="245"/>
      <c r="B11" s="932" t="s">
        <v>240</v>
      </c>
      <c r="C11" s="933"/>
      <c r="D11" s="933"/>
      <c r="E11" s="324"/>
      <c r="F11" s="328">
        <f>F9+F10</f>
        <v>945.00000000000011</v>
      </c>
      <c r="G11" s="329" t="s">
        <v>14</v>
      </c>
      <c r="H11" s="330">
        <f>H9+H10</f>
        <v>0.27</v>
      </c>
      <c r="I11" s="329" t="s">
        <v>6</v>
      </c>
      <c r="J11" s="331">
        <f>J9+J10</f>
        <v>2835.0000000000005</v>
      </c>
      <c r="K11" s="329" t="s">
        <v>615</v>
      </c>
      <c r="L11" s="329"/>
      <c r="M11" s="321"/>
    </row>
    <row r="12" spans="1:13" s="8" customFormat="1" ht="21" x14ac:dyDescent="0.4">
      <c r="A12" s="245"/>
      <c r="B12" s="351"/>
      <c r="C12" s="332"/>
      <c r="D12" s="332"/>
      <c r="E12" s="324"/>
      <c r="F12" s="328"/>
      <c r="G12" s="329"/>
      <c r="H12" s="330"/>
      <c r="I12" s="329"/>
      <c r="J12" s="331"/>
      <c r="K12" s="329"/>
      <c r="L12" s="329"/>
      <c r="M12" s="321"/>
    </row>
    <row r="13" spans="1:13" ht="22.05" customHeight="1" x14ac:dyDescent="0.3">
      <c r="B13" s="292"/>
      <c r="C13" s="286"/>
      <c r="D13" s="148"/>
      <c r="E13" s="148"/>
      <c r="F13" s="148"/>
      <c r="G13" s="148"/>
      <c r="H13" s="148"/>
      <c r="I13" s="148"/>
      <c r="J13" s="293"/>
      <c r="K13" s="148"/>
      <c r="L13" s="148"/>
      <c r="M13" s="287"/>
    </row>
    <row r="14" spans="1:13" ht="21" x14ac:dyDescent="0.4">
      <c r="B14" s="319" t="s">
        <v>613</v>
      </c>
      <c r="C14" s="286"/>
      <c r="D14" s="148"/>
      <c r="E14" s="148"/>
      <c r="F14" s="148"/>
      <c r="G14" s="148"/>
      <c r="H14" s="148"/>
      <c r="I14" s="148"/>
      <c r="J14" s="293"/>
      <c r="K14" s="148"/>
      <c r="L14" s="148"/>
      <c r="M14" s="287"/>
    </row>
    <row r="15" spans="1:13" s="77" customFormat="1" ht="16.95" customHeight="1" x14ac:dyDescent="0.3">
      <c r="A15" s="84"/>
      <c r="B15" s="602"/>
      <c r="C15" s="306"/>
      <c r="D15" s="310"/>
      <c r="E15" s="310"/>
      <c r="F15" s="311"/>
      <c r="G15" s="153"/>
      <c r="H15" s="310"/>
      <c r="I15" s="310"/>
      <c r="J15" s="310"/>
      <c r="K15" s="310"/>
      <c r="L15" s="310"/>
      <c r="M15" s="295"/>
    </row>
    <row r="16" spans="1:13" s="91" customFormat="1" ht="16.95" customHeight="1" x14ac:dyDescent="0.25">
      <c r="A16" s="84"/>
      <c r="B16" s="602"/>
      <c r="C16" s="289" t="s">
        <v>243</v>
      </c>
      <c r="D16" s="297"/>
      <c r="E16" s="297"/>
      <c r="F16" s="308">
        <f>IF('Gårdens info'!D31&gt;0,J71,0)</f>
        <v>108</v>
      </c>
      <c r="G16" s="151" t="s">
        <v>14</v>
      </c>
      <c r="H16" s="299">
        <f>IF('Gårdens info'!$G$31&gt;0,F16/'Gårdens info'!$G$31,0)</f>
        <v>3.0857142857142857E-2</v>
      </c>
      <c r="I16" s="151" t="s">
        <v>6</v>
      </c>
      <c r="J16" s="298">
        <f>F16*'Gårdens info'!$D$31</f>
        <v>324</v>
      </c>
      <c r="K16" s="151" t="s">
        <v>615</v>
      </c>
      <c r="L16" s="297"/>
      <c r="M16" s="300"/>
    </row>
    <row r="17" spans="1:29" s="91" customFormat="1" ht="15" x14ac:dyDescent="0.25">
      <c r="A17" s="607"/>
      <c r="B17" s="296"/>
      <c r="C17" s="289" t="s">
        <v>244</v>
      </c>
      <c r="D17" s="297"/>
      <c r="E17" s="297"/>
      <c r="F17" s="298">
        <f>IF('Gårdens info'!D31&gt;0,J79,0)</f>
        <v>151.69999999999999</v>
      </c>
      <c r="G17" s="151" t="s">
        <v>14</v>
      </c>
      <c r="H17" s="299">
        <f>IF('Gårdens info'!$G$31&gt;0,F17/'Gårdens info'!$G$31,0)</f>
        <v>4.3342857142857141E-2</v>
      </c>
      <c r="I17" s="151" t="s">
        <v>6</v>
      </c>
      <c r="J17" s="298">
        <f>F17*'Gårdens info'!$D$31</f>
        <v>455.09999999999997</v>
      </c>
      <c r="K17" s="151" t="s">
        <v>615</v>
      </c>
      <c r="L17" s="297"/>
      <c r="M17" s="300"/>
    </row>
    <row r="18" spans="1:29" s="91" customFormat="1" ht="15" x14ac:dyDescent="0.25">
      <c r="A18" s="607"/>
      <c r="B18" s="296"/>
      <c r="C18" s="289" t="s">
        <v>245</v>
      </c>
      <c r="D18" s="297"/>
      <c r="E18" s="297"/>
      <c r="F18" s="298">
        <f>IF('Gårdens info'!D31&gt;0,J97,0)</f>
        <v>41.082999999999998</v>
      </c>
      <c r="G18" s="151" t="s">
        <v>14</v>
      </c>
      <c r="H18" s="299">
        <f>IF('Gårdens info'!$G$31&gt;0,F18/'Gårdens info'!$G$31,0)</f>
        <v>1.1738E-2</v>
      </c>
      <c r="I18" s="151" t="s">
        <v>6</v>
      </c>
      <c r="J18" s="298">
        <f>F18*'Gårdens info'!$D$31</f>
        <v>123.249</v>
      </c>
      <c r="K18" s="151" t="s">
        <v>615</v>
      </c>
      <c r="L18" s="297"/>
      <c r="M18" s="300"/>
    </row>
    <row r="19" spans="1:29" s="91" customFormat="1" ht="15" x14ac:dyDescent="0.25">
      <c r="A19" s="607"/>
      <c r="B19" s="296"/>
      <c r="C19" s="289" t="s">
        <v>387</v>
      </c>
      <c r="D19" s="297"/>
      <c r="E19" s="297"/>
      <c r="F19" s="298">
        <f>IF('Gårdens info'!D31&gt;0,J106,0)</f>
        <v>395</v>
      </c>
      <c r="G19" s="151" t="s">
        <v>14</v>
      </c>
      <c r="H19" s="299">
        <f>IF('Gårdens info'!$G$31&gt;0,F19/'Gårdens info'!$G$31,0)</f>
        <v>0.11285714285714285</v>
      </c>
      <c r="I19" s="151" t="s">
        <v>6</v>
      </c>
      <c r="J19" s="298">
        <f>F19*'Gårdens info'!$D$31</f>
        <v>1185</v>
      </c>
      <c r="K19" s="151" t="s">
        <v>615</v>
      </c>
      <c r="L19" s="297"/>
      <c r="M19" s="300"/>
    </row>
    <row r="20" spans="1:29" s="91" customFormat="1" ht="15" x14ac:dyDescent="0.25">
      <c r="A20" s="607"/>
      <c r="B20" s="296"/>
      <c r="C20" s="289" t="s">
        <v>249</v>
      </c>
      <c r="D20" s="297"/>
      <c r="E20" s="297"/>
      <c r="F20" s="298">
        <f>IF('Gårdens info'!D31&gt;0,J118,0)</f>
        <v>77.400000000000006</v>
      </c>
      <c r="G20" s="151" t="s">
        <v>14</v>
      </c>
      <c r="H20" s="299">
        <f>IF('Gårdens info'!$G$31&gt;0,F20/'Gårdens info'!$G$31,0)</f>
        <v>2.2114285714285715E-2</v>
      </c>
      <c r="I20" s="151" t="s">
        <v>6</v>
      </c>
      <c r="J20" s="298">
        <f>F20*'Gårdens info'!$D$31</f>
        <v>232.20000000000002</v>
      </c>
      <c r="K20" s="151" t="s">
        <v>615</v>
      </c>
      <c r="L20" s="297"/>
      <c r="M20" s="300"/>
    </row>
    <row r="21" spans="1:29" s="91" customFormat="1" ht="15" x14ac:dyDescent="0.25">
      <c r="A21" s="607"/>
      <c r="B21" s="296"/>
      <c r="C21" s="289" t="s">
        <v>614</v>
      </c>
      <c r="D21" s="297"/>
      <c r="E21" s="297"/>
      <c r="F21" s="298">
        <f>IF('Gårdens info'!D31&gt;0,L134,0)</f>
        <v>0</v>
      </c>
      <c r="G21" s="151" t="s">
        <v>14</v>
      </c>
      <c r="H21" s="299">
        <f>IF('Gårdens info'!$G$31&gt;0,F21/'Gårdens info'!$G$31,0)</f>
        <v>0</v>
      </c>
      <c r="I21" s="151" t="s">
        <v>6</v>
      </c>
      <c r="J21" s="298">
        <f>F21*'Gårdens info'!$D$31</f>
        <v>0</v>
      </c>
      <c r="K21" s="151" t="s">
        <v>615</v>
      </c>
      <c r="L21" s="297"/>
      <c r="M21" s="300"/>
    </row>
    <row r="22" spans="1:29" ht="15.6" x14ac:dyDescent="0.3">
      <c r="B22" s="312"/>
      <c r="C22" s="301" t="s">
        <v>196</v>
      </c>
      <c r="D22" s="302"/>
      <c r="E22" s="302"/>
      <c r="F22" s="303">
        <f>SUM(F16:F21)</f>
        <v>773.18299999999999</v>
      </c>
      <c r="G22" s="304" t="s">
        <v>14</v>
      </c>
      <c r="H22" s="305">
        <f>SUM(H16:H21)</f>
        <v>0.22090942857142856</v>
      </c>
      <c r="I22" s="304" t="s">
        <v>6</v>
      </c>
      <c r="J22" s="303">
        <f>SUM(J16:J21)</f>
        <v>2319.549</v>
      </c>
      <c r="K22" s="304" t="s">
        <v>615</v>
      </c>
      <c r="L22" s="302"/>
      <c r="M22" s="313"/>
      <c r="N22" s="91"/>
      <c r="O22" s="91"/>
      <c r="P22" s="91"/>
      <c r="Q22" s="91"/>
      <c r="R22" s="91"/>
      <c r="S22" s="91"/>
      <c r="T22" s="91"/>
      <c r="U22" s="91"/>
      <c r="AB22" s="24"/>
    </row>
    <row r="23" spans="1:29" s="77" customFormat="1" ht="17.399999999999999" x14ac:dyDescent="0.3">
      <c r="A23" s="606"/>
      <c r="B23" s="292"/>
      <c r="C23" s="306"/>
      <c r="D23" s="307"/>
      <c r="E23" s="307"/>
      <c r="F23" s="308"/>
      <c r="G23" s="151"/>
      <c r="H23" s="307"/>
      <c r="I23" s="307"/>
      <c r="J23" s="307"/>
      <c r="K23" s="307"/>
      <c r="L23" s="307"/>
      <c r="M23" s="287"/>
      <c r="N23" s="91"/>
      <c r="O23" s="91"/>
      <c r="P23" s="91"/>
      <c r="R23" s="91"/>
      <c r="S23" s="91"/>
      <c r="T23" s="91"/>
      <c r="U23" s="91"/>
      <c r="AB23" s="77" t="s">
        <v>243</v>
      </c>
      <c r="AC23" s="678">
        <f>F16</f>
        <v>108</v>
      </c>
    </row>
    <row r="24" spans="1:29" s="91" customFormat="1" ht="17.399999999999999" x14ac:dyDescent="0.3">
      <c r="A24" s="607"/>
      <c r="B24" s="947" t="s">
        <v>619</v>
      </c>
      <c r="C24" s="948"/>
      <c r="D24" s="948"/>
      <c r="E24" s="948"/>
      <c r="F24" s="325">
        <f>IF('Gårdens info'!D31&gt;0,J24/'Gårdens info'!D31,0)</f>
        <v>414.81481481481484</v>
      </c>
      <c r="G24" s="304" t="s">
        <v>14</v>
      </c>
      <c r="H24" s="326">
        <f>IF('Gårdens info'!G31&gt;0,F24/'Gårdens info'!G31,0)</f>
        <v>0.11851851851851852</v>
      </c>
      <c r="I24" s="304" t="s">
        <v>6</v>
      </c>
      <c r="J24" s="320">
        <f>'Gårdens info'!G147/'Gårdens info'!D37*'Gårdens info'!D31</f>
        <v>1244.4444444444446</v>
      </c>
      <c r="K24" s="304" t="s">
        <v>615</v>
      </c>
      <c r="L24" s="327"/>
      <c r="M24" s="321"/>
      <c r="N24"/>
      <c r="O24"/>
      <c r="P24"/>
      <c r="S24"/>
      <c r="T24"/>
      <c r="U24"/>
      <c r="AB24" s="91" t="str">
        <f>C17</f>
        <v>Gödsel och kalk</v>
      </c>
      <c r="AC24" s="678">
        <f t="shared" ref="AC24:AC28" si="0">F17</f>
        <v>151.69999999999999</v>
      </c>
    </row>
    <row r="25" spans="1:29" s="91" customFormat="1" ht="17.399999999999999" x14ac:dyDescent="0.3">
      <c r="A25" s="607"/>
      <c r="B25" s="949" t="s">
        <v>618</v>
      </c>
      <c r="C25" s="950"/>
      <c r="D25" s="950"/>
      <c r="E25" s="950"/>
      <c r="F25" s="325">
        <f>'Gårdens info'!$G$42*'Gårdens info'!$D$42/'Gårdens info'!$D$37*'Gårdens info'!D31</f>
        <v>133.33333333333331</v>
      </c>
      <c r="G25" s="304" t="s">
        <v>14</v>
      </c>
      <c r="H25" s="326">
        <f>IF('Gårdens info'!G31&gt;0,F25/'Gårdens info'!G31,0)</f>
        <v>3.8095238095238092E-2</v>
      </c>
      <c r="I25" s="304" t="s">
        <v>6</v>
      </c>
      <c r="J25" s="320">
        <f>F25*'Gårdens info'!D31</f>
        <v>399.99999999999994</v>
      </c>
      <c r="K25" s="304" t="s">
        <v>615</v>
      </c>
      <c r="L25" s="327"/>
      <c r="M25" s="321"/>
      <c r="N25" s="77"/>
      <c r="O25" s="77"/>
      <c r="P25" s="77"/>
      <c r="S25" s="77"/>
      <c r="T25" s="77"/>
      <c r="U25" s="77"/>
      <c r="AB25" s="91" t="str">
        <f>C18</f>
        <v>IPM Växtskydd</v>
      </c>
      <c r="AC25" s="678">
        <f t="shared" si="0"/>
        <v>41.082999999999998</v>
      </c>
    </row>
    <row r="26" spans="1:29" s="91" customFormat="1" ht="21" x14ac:dyDescent="0.4">
      <c r="A26" s="607"/>
      <c r="B26" s="932" t="s">
        <v>226</v>
      </c>
      <c r="C26" s="933"/>
      <c r="D26" s="933"/>
      <c r="E26" s="324"/>
      <c r="F26" s="328">
        <f>F22+F24+F25</f>
        <v>1321.331148148148</v>
      </c>
      <c r="G26" s="329" t="s">
        <v>14</v>
      </c>
      <c r="H26" s="330">
        <f>H22+H24+H25</f>
        <v>0.37752318518518513</v>
      </c>
      <c r="I26" s="329" t="s">
        <v>6</v>
      </c>
      <c r="J26" s="331">
        <f>J22+J24+J25</f>
        <v>3963.9934444444443</v>
      </c>
      <c r="K26" s="329" t="s">
        <v>615</v>
      </c>
      <c r="L26" s="329"/>
      <c r="M26" s="321"/>
      <c r="AB26" s="91" t="str">
        <f t="shared" ref="AB26:AB28" si="1">C19</f>
        <v>Maskinhyra och entreprenad</v>
      </c>
      <c r="AC26" s="678">
        <f t="shared" si="0"/>
        <v>395</v>
      </c>
    </row>
    <row r="27" spans="1:29" s="91" customFormat="1" ht="21" x14ac:dyDescent="0.4">
      <c r="A27" s="607"/>
      <c r="B27" s="351"/>
      <c r="C27" s="332"/>
      <c r="D27" s="332"/>
      <c r="E27" s="324"/>
      <c r="F27" s="328"/>
      <c r="G27" s="329"/>
      <c r="H27" s="330"/>
      <c r="I27" s="329"/>
      <c r="J27" s="331"/>
      <c r="K27" s="329"/>
      <c r="L27" s="329"/>
      <c r="M27" s="321"/>
      <c r="AB27" s="91" t="str">
        <f t="shared" si="1"/>
        <v>Energikostnader</v>
      </c>
      <c r="AC27" s="678">
        <f t="shared" si="0"/>
        <v>77.400000000000006</v>
      </c>
    </row>
    <row r="28" spans="1:29" s="91" customFormat="1" ht="21" x14ac:dyDescent="0.4">
      <c r="A28" s="607"/>
      <c r="B28" s="319" t="s">
        <v>617</v>
      </c>
      <c r="C28" s="286"/>
      <c r="D28" s="148"/>
      <c r="E28" s="148"/>
      <c r="F28" s="148"/>
      <c r="G28" s="148"/>
      <c r="H28" s="148"/>
      <c r="I28" s="148"/>
      <c r="J28" s="293"/>
      <c r="K28" s="148"/>
      <c r="L28" s="148"/>
      <c r="M28" s="287"/>
      <c r="AB28" s="91" t="str">
        <f t="shared" si="1"/>
        <v xml:space="preserve">Anställd arbetskraft </v>
      </c>
      <c r="AC28" s="678">
        <f t="shared" si="0"/>
        <v>0</v>
      </c>
    </row>
    <row r="29" spans="1:29" s="91" customFormat="1" ht="21" customHeight="1" x14ac:dyDescent="0.4">
      <c r="A29" s="607"/>
      <c r="B29" s="947" t="s">
        <v>149</v>
      </c>
      <c r="C29" s="948"/>
      <c r="D29" s="845"/>
      <c r="E29" s="324"/>
      <c r="F29" s="328"/>
      <c r="G29" s="329"/>
      <c r="H29" s="330"/>
      <c r="I29" s="329"/>
      <c r="J29" s="331"/>
      <c r="K29" s="329"/>
      <c r="L29" s="329"/>
      <c r="M29" s="321"/>
      <c r="AB29" s="882" t="s">
        <v>572</v>
      </c>
      <c r="AC29" s="459">
        <f>F24</f>
        <v>414.81481481481484</v>
      </c>
    </row>
    <row r="30" spans="1:29" s="91" customFormat="1" ht="21" x14ac:dyDescent="0.4">
      <c r="A30" s="607"/>
      <c r="B30" s="350"/>
      <c r="C30" s="846" t="s">
        <v>264</v>
      </c>
      <c r="D30" s="845"/>
      <c r="E30" s="324"/>
      <c r="F30" s="338">
        <f>IF('Gårdens info'!$D$31&gt;0,J30/'Gårdens info'!$D$31,0)</f>
        <v>111.1111111111111</v>
      </c>
      <c r="G30" s="151" t="s">
        <v>14</v>
      </c>
      <c r="H30" s="339">
        <f>IF('Gårdens info'!$G$31&gt;0,F30/'Gårdens info'!$G$31,0)</f>
        <v>3.1746031746031744E-2</v>
      </c>
      <c r="I30" s="151" t="s">
        <v>6</v>
      </c>
      <c r="J30" s="298">
        <f>Ägendom!AY22</f>
        <v>333.33333333333331</v>
      </c>
      <c r="K30" s="151" t="s">
        <v>615</v>
      </c>
      <c r="L30" s="329"/>
      <c r="M30" s="321"/>
      <c r="AB30" s="91" t="s">
        <v>728</v>
      </c>
      <c r="AC30" s="459">
        <f>F25</f>
        <v>133.33333333333331</v>
      </c>
    </row>
    <row r="31" spans="1:29" s="236" customFormat="1" ht="21" x14ac:dyDescent="0.4">
      <c r="A31" s="608"/>
      <c r="B31" s="350"/>
      <c r="C31" s="846" t="s">
        <v>265</v>
      </c>
      <c r="D31" s="845"/>
      <c r="E31" s="324"/>
      <c r="F31" s="338">
        <f>IF('Gårdens info'!$D$31&gt;0,J31/'Gårdens info'!$D$31,0)</f>
        <v>69.444444444444443</v>
      </c>
      <c r="G31" s="151" t="s">
        <v>14</v>
      </c>
      <c r="H31" s="339">
        <f>IF('Gårdens info'!$G$31&gt;0,F31/'Gårdens info'!$G$31,0)</f>
        <v>1.984126984126984E-2</v>
      </c>
      <c r="I31" s="151" t="s">
        <v>6</v>
      </c>
      <c r="J31" s="298">
        <f>Ägendom!BU22</f>
        <v>208.33333333333331</v>
      </c>
      <c r="K31" s="151" t="s">
        <v>615</v>
      </c>
      <c r="L31" s="329"/>
      <c r="M31" s="321"/>
      <c r="N31" s="91"/>
      <c r="O31" s="91"/>
      <c r="P31" s="91"/>
      <c r="S31" s="91"/>
      <c r="T31" s="91"/>
      <c r="U31" s="91"/>
      <c r="AB31" s="91" t="s">
        <v>576</v>
      </c>
      <c r="AC31" s="460">
        <f>F34</f>
        <v>213.88888888888886</v>
      </c>
    </row>
    <row r="32" spans="1:29" ht="17.399999999999999" customHeight="1" x14ac:dyDescent="0.3">
      <c r="B32" s="350"/>
      <c r="C32" s="941" t="s">
        <v>266</v>
      </c>
      <c r="D32" s="941"/>
      <c r="E32" s="324"/>
      <c r="F32" s="338">
        <f>IF('Gårdens info'!$D$31&gt;0,J32/'Gårdens info'!$D$31,0)</f>
        <v>27.777777777777775</v>
      </c>
      <c r="G32" s="151" t="s">
        <v>14</v>
      </c>
      <c r="H32" s="339">
        <f>IF('Gårdens info'!$G$31&gt;0,F32/'Gårdens info'!$G$31,0)</f>
        <v>7.9365079365079361E-3</v>
      </c>
      <c r="I32" s="151" t="s">
        <v>6</v>
      </c>
      <c r="J32" s="298">
        <f>Ägendom!CQ22</f>
        <v>83.333333333333329</v>
      </c>
      <c r="K32" s="151" t="s">
        <v>615</v>
      </c>
      <c r="L32" s="329"/>
      <c r="M32" s="321"/>
      <c r="N32" s="91"/>
      <c r="O32" s="91"/>
      <c r="P32" s="91"/>
      <c r="S32" s="91"/>
      <c r="T32" s="91"/>
      <c r="U32" s="91"/>
      <c r="AB32" s="91" t="s">
        <v>577</v>
      </c>
      <c r="AC32" s="461">
        <f>F41</f>
        <v>357.60123456790126</v>
      </c>
    </row>
    <row r="33" spans="1:29" ht="21" x14ac:dyDescent="0.4">
      <c r="B33" s="350"/>
      <c r="C33" s="846" t="s">
        <v>399</v>
      </c>
      <c r="D33" s="845"/>
      <c r="E33" s="324"/>
      <c r="F33" s="338">
        <f>IF('Gårdens info'!$D$31&gt;0,J33/'Gårdens info'!$D$31,0)</f>
        <v>5.5555555555555545</v>
      </c>
      <c r="G33" s="151" t="s">
        <v>14</v>
      </c>
      <c r="H33" s="339">
        <f>IF('Gårdens info'!$G$31&gt;0,F33/'Gårdens info'!$G$31,0)</f>
        <v>1.5873015873015871E-3</v>
      </c>
      <c r="I33" s="151" t="s">
        <v>6</v>
      </c>
      <c r="J33" s="298">
        <f>Ägendom!DM22</f>
        <v>16.666666666666664</v>
      </c>
      <c r="K33" s="151" t="s">
        <v>615</v>
      </c>
      <c r="L33" s="329"/>
      <c r="M33" s="321"/>
      <c r="N33" s="236"/>
      <c r="O33" s="236"/>
      <c r="P33" s="236"/>
      <c r="S33" s="236"/>
      <c r="T33" s="236"/>
      <c r="U33" s="236"/>
      <c r="AB33" s="91" t="s">
        <v>578</v>
      </c>
      <c r="AC33" s="461">
        <f>F48</f>
        <v>0</v>
      </c>
    </row>
    <row r="34" spans="1:29" ht="20.399999999999999" x14ac:dyDescent="0.35">
      <c r="B34" s="352"/>
      <c r="C34" s="340" t="s">
        <v>196</v>
      </c>
      <c r="D34" s="341"/>
      <c r="E34" s="324"/>
      <c r="F34" s="342">
        <f>SUM(F30:F33)</f>
        <v>213.88888888888886</v>
      </c>
      <c r="G34" s="151" t="s">
        <v>14</v>
      </c>
      <c r="H34" s="348">
        <f t="shared" ref="H34:J34" si="2">SUM(H30:H33)</f>
        <v>6.1111111111111109E-2</v>
      </c>
      <c r="I34" s="151" t="s">
        <v>6</v>
      </c>
      <c r="J34" s="342">
        <f t="shared" si="2"/>
        <v>641.66666666666663</v>
      </c>
      <c r="K34" s="151" t="s">
        <v>615</v>
      </c>
      <c r="L34" s="343"/>
      <c r="M34" s="321"/>
      <c r="AB34" s="91" t="s">
        <v>162</v>
      </c>
      <c r="AC34" s="461">
        <f>F54</f>
        <v>22.222222222222218</v>
      </c>
    </row>
    <row r="35" spans="1:29" s="91" customFormat="1" ht="21" x14ac:dyDescent="0.4">
      <c r="A35" s="607"/>
      <c r="B35" s="350"/>
      <c r="C35" s="846"/>
      <c r="D35" s="845"/>
      <c r="E35" s="324"/>
      <c r="F35" s="338"/>
      <c r="G35" s="151"/>
      <c r="H35" s="339"/>
      <c r="I35" s="151"/>
      <c r="J35" s="298"/>
      <c r="K35" s="151"/>
      <c r="L35" s="329"/>
      <c r="M35" s="321"/>
      <c r="N35"/>
      <c r="O35"/>
      <c r="P35"/>
      <c r="S35"/>
      <c r="T35"/>
      <c r="U35"/>
      <c r="AB35" s="91" t="s">
        <v>727</v>
      </c>
      <c r="AC35" s="459">
        <f>F60</f>
        <v>130.5</v>
      </c>
    </row>
    <row r="36" spans="1:29" s="91" customFormat="1" ht="17.399999999999999" customHeight="1" x14ac:dyDescent="0.3">
      <c r="A36" s="607"/>
      <c r="B36" s="970" t="s">
        <v>400</v>
      </c>
      <c r="C36" s="971"/>
      <c r="D36" s="971"/>
      <c r="E36" s="324"/>
      <c r="F36" s="338"/>
      <c r="G36" s="151"/>
      <c r="H36" s="339"/>
      <c r="I36" s="151"/>
      <c r="J36" s="298"/>
      <c r="K36" s="151"/>
      <c r="L36" s="329"/>
      <c r="M36" s="321"/>
      <c r="N36"/>
      <c r="O36"/>
      <c r="P36"/>
      <c r="S36"/>
      <c r="T36"/>
      <c r="U36"/>
      <c r="AB36" s="8"/>
      <c r="AC36" s="8"/>
    </row>
    <row r="37" spans="1:29" s="91" customFormat="1" ht="21" x14ac:dyDescent="0.4">
      <c r="A37" s="607"/>
      <c r="B37" s="350"/>
      <c r="C37" s="846" t="s">
        <v>264</v>
      </c>
      <c r="D37" s="845"/>
      <c r="E37" s="324"/>
      <c r="F37" s="338">
        <f>IF('Gårdens info'!$D$31&gt;0,J37/'Gårdens info'!$D$31,0)</f>
        <v>150.8641975308642</v>
      </c>
      <c r="G37" s="151" t="s">
        <v>14</v>
      </c>
      <c r="H37" s="339">
        <f>IF('Gårdens info'!$G$31&gt;0,F37/'Gårdens info'!$G$31,0)</f>
        <v>4.3104056437389772E-2</v>
      </c>
      <c r="I37" s="151" t="s">
        <v>6</v>
      </c>
      <c r="J37" s="298">
        <f>Ägendom!AY51</f>
        <v>452.59259259259261</v>
      </c>
      <c r="K37" s="151" t="s">
        <v>615</v>
      </c>
      <c r="L37" s="329"/>
      <c r="M37" s="321"/>
      <c r="AB37" s="8"/>
      <c r="AC37" s="8"/>
    </row>
    <row r="38" spans="1:29" s="8" customFormat="1" ht="21" x14ac:dyDescent="0.4">
      <c r="A38" s="245"/>
      <c r="B38" s="350"/>
      <c r="C38" s="846" t="s">
        <v>265</v>
      </c>
      <c r="D38" s="845"/>
      <c r="E38" s="324"/>
      <c r="F38" s="338">
        <f>IF('Gårdens info'!$D$31&gt;0,J38/'Gårdens info'!$D$31,0)</f>
        <v>56.574074074074076</v>
      </c>
      <c r="G38" s="151" t="s">
        <v>14</v>
      </c>
      <c r="H38" s="339">
        <f>IF('Gårdens info'!$G$31&gt;0,F38/'Gårdens info'!$G$31,0)</f>
        <v>1.6164021164021165E-2</v>
      </c>
      <c r="I38" s="151" t="s">
        <v>6</v>
      </c>
      <c r="J38" s="298">
        <f>Ägendom!BU51</f>
        <v>169.72222222222223</v>
      </c>
      <c r="K38" s="151" t="s">
        <v>615</v>
      </c>
      <c r="L38" s="329"/>
      <c r="M38" s="321"/>
      <c r="N38" s="91"/>
      <c r="O38" s="91"/>
      <c r="P38" s="91"/>
      <c r="Q38" s="91"/>
      <c r="R38" s="91"/>
      <c r="S38" s="91"/>
      <c r="T38" s="91"/>
      <c r="U38" s="91"/>
    </row>
    <row r="39" spans="1:29" s="8" customFormat="1" ht="17.399999999999999" customHeight="1" x14ac:dyDescent="0.3">
      <c r="A39" s="245"/>
      <c r="B39" s="350"/>
      <c r="C39" s="941" t="s">
        <v>266</v>
      </c>
      <c r="D39" s="941"/>
      <c r="E39" s="324"/>
      <c r="F39" s="338">
        <f>IF('Gårdens info'!$D$31&gt;0,J39/'Gårdens info'!$D$31,0)</f>
        <v>140.77777777777774</v>
      </c>
      <c r="G39" s="151" t="s">
        <v>14</v>
      </c>
      <c r="H39" s="339">
        <f>IF('Gårdens info'!$G$31&gt;0,F39/'Gårdens info'!$G$31,0)</f>
        <v>4.0222222222222215E-2</v>
      </c>
      <c r="I39" s="151" t="s">
        <v>6</v>
      </c>
      <c r="J39" s="298">
        <f>Ägendom!CQ51</f>
        <v>422.33333333333326</v>
      </c>
      <c r="K39" s="151" t="s">
        <v>615</v>
      </c>
      <c r="L39" s="329"/>
      <c r="M39" s="321"/>
      <c r="N39" s="91"/>
      <c r="O39" s="91"/>
      <c r="P39" s="91"/>
      <c r="Q39" s="91"/>
      <c r="R39" s="91"/>
      <c r="S39" s="91"/>
      <c r="T39" s="91"/>
      <c r="U39" s="91"/>
    </row>
    <row r="40" spans="1:29" s="8" customFormat="1" ht="21" x14ac:dyDescent="0.4">
      <c r="A40" s="245"/>
      <c r="B40" s="350"/>
      <c r="C40" s="846" t="s">
        <v>399</v>
      </c>
      <c r="D40" s="845"/>
      <c r="E40" s="324"/>
      <c r="F40" s="338">
        <f>IF('Gårdens info'!$D$31&gt;0,J40/'Gårdens info'!$D$31,0)</f>
        <v>9.3851851851851862</v>
      </c>
      <c r="G40" s="151" t="s">
        <v>14</v>
      </c>
      <c r="H40" s="339">
        <f>IF('Gårdens info'!$G$31&gt;0,F40/'Gårdens info'!$G$31,0)</f>
        <v>2.6814814814814817E-3</v>
      </c>
      <c r="I40" s="151" t="s">
        <v>6</v>
      </c>
      <c r="J40" s="298">
        <f>Ägendom!DM51</f>
        <v>28.155555555555559</v>
      </c>
      <c r="K40" s="151" t="s">
        <v>615</v>
      </c>
      <c r="L40" s="329"/>
      <c r="M40" s="321"/>
    </row>
    <row r="41" spans="1:29" s="8" customFormat="1" ht="20.399999999999999" x14ac:dyDescent="0.35">
      <c r="A41" s="245"/>
      <c r="B41" s="352"/>
      <c r="C41" s="340" t="s">
        <v>196</v>
      </c>
      <c r="D41" s="341"/>
      <c r="E41" s="324"/>
      <c r="F41" s="342">
        <f>SUM(F37:F40)</f>
        <v>357.60123456790126</v>
      </c>
      <c r="G41" s="151" t="s">
        <v>14</v>
      </c>
      <c r="H41" s="348">
        <f t="shared" ref="H41:J41" si="3">SUM(H37:H40)</f>
        <v>0.10217178130511463</v>
      </c>
      <c r="I41" s="151" t="s">
        <v>6</v>
      </c>
      <c r="J41" s="342">
        <f t="shared" si="3"/>
        <v>1072.8037037037036</v>
      </c>
      <c r="K41" s="151" t="s">
        <v>615</v>
      </c>
      <c r="L41" s="343"/>
      <c r="M41" s="321"/>
    </row>
    <row r="42" spans="1:29" s="8" customFormat="1" ht="21" x14ac:dyDescent="0.4">
      <c r="A42" s="245"/>
      <c r="B42" s="350"/>
      <c r="C42" s="846"/>
      <c r="D42" s="845"/>
      <c r="E42" s="324"/>
      <c r="F42" s="338"/>
      <c r="G42" s="151"/>
      <c r="H42" s="339"/>
      <c r="I42" s="151"/>
      <c r="J42" s="298"/>
      <c r="K42" s="151"/>
      <c r="L42" s="329"/>
      <c r="M42" s="321"/>
      <c r="AB42"/>
      <c r="AC42"/>
    </row>
    <row r="43" spans="1:29" s="8" customFormat="1" ht="43.05" customHeight="1" x14ac:dyDescent="0.3">
      <c r="A43" s="245"/>
      <c r="B43" s="947" t="s">
        <v>151</v>
      </c>
      <c r="C43" s="948"/>
      <c r="D43" s="948"/>
      <c r="E43" s="324"/>
      <c r="F43" s="338"/>
      <c r="G43" s="151"/>
      <c r="H43" s="339"/>
      <c r="I43" s="151"/>
      <c r="J43" s="298"/>
      <c r="K43" s="151"/>
      <c r="L43" s="329"/>
      <c r="M43" s="321"/>
    </row>
    <row r="44" spans="1:29" ht="21" x14ac:dyDescent="0.4">
      <c r="B44" s="350"/>
      <c r="C44" s="846" t="s">
        <v>264</v>
      </c>
      <c r="D44" s="845"/>
      <c r="E44" s="324"/>
      <c r="F44" s="338">
        <f>IF('Gårdens info'!$D$31&gt;0,J44/'Gårdens info'!$D$31,0)</f>
        <v>0</v>
      </c>
      <c r="G44" s="151" t="s">
        <v>14</v>
      </c>
      <c r="H44" s="339">
        <f>IF('Gårdens info'!$G$31&gt;0,F44/'Gårdens info'!$G$31,0)</f>
        <v>0</v>
      </c>
      <c r="I44" s="151" t="s">
        <v>6</v>
      </c>
      <c r="J44" s="298">
        <f>Ägendom!AY76</f>
        <v>0</v>
      </c>
      <c r="K44" s="151" t="s">
        <v>615</v>
      </c>
      <c r="L44" s="329"/>
      <c r="M44" s="321"/>
      <c r="N44" s="8"/>
      <c r="O44" s="8"/>
      <c r="P44" s="8"/>
      <c r="Q44" s="8"/>
      <c r="R44" s="8"/>
      <c r="S44" s="8"/>
      <c r="T44" s="8"/>
      <c r="U44" s="8"/>
      <c r="AB44" s="8"/>
      <c r="AC44" s="8"/>
    </row>
    <row r="45" spans="1:29" s="8" customFormat="1" ht="21" x14ac:dyDescent="0.4">
      <c r="A45" s="245"/>
      <c r="B45" s="350"/>
      <c r="C45" s="846" t="s">
        <v>265</v>
      </c>
      <c r="D45" s="845"/>
      <c r="E45" s="324"/>
      <c r="F45" s="338">
        <f>IF('Gårdens info'!$D$31&gt;0,J45/'Gårdens info'!$D$31,0)</f>
        <v>0</v>
      </c>
      <c r="G45" s="151" t="s">
        <v>14</v>
      </c>
      <c r="H45" s="339">
        <f>IF('Gårdens info'!$G$31&gt;0,F45/'Gårdens info'!$G$31,0)</f>
        <v>0</v>
      </c>
      <c r="I45" s="151" t="s">
        <v>6</v>
      </c>
      <c r="J45" s="298">
        <f>Ägendom!BU76</f>
        <v>0</v>
      </c>
      <c r="K45" s="151" t="s">
        <v>615</v>
      </c>
      <c r="L45" s="329"/>
      <c r="M45" s="321"/>
    </row>
    <row r="46" spans="1:29" s="8" customFormat="1" ht="17.399999999999999" customHeight="1" x14ac:dyDescent="0.3">
      <c r="A46" s="245"/>
      <c r="B46" s="350"/>
      <c r="C46" s="941" t="s">
        <v>266</v>
      </c>
      <c r="D46" s="941"/>
      <c r="E46" s="324"/>
      <c r="F46" s="338">
        <f>IF('Gårdens info'!$D$31&gt;0,J46/'Gårdens info'!$D$31,0)</f>
        <v>0</v>
      </c>
      <c r="G46" s="151" t="s">
        <v>14</v>
      </c>
      <c r="H46" s="339">
        <f>IF('Gårdens info'!$G$31&gt;0,F46/'Gårdens info'!$G$31,0)</f>
        <v>0</v>
      </c>
      <c r="I46" s="151" t="s">
        <v>6</v>
      </c>
      <c r="J46" s="298">
        <f>Ägendom!CQ76</f>
        <v>0</v>
      </c>
      <c r="K46" s="151" t="s">
        <v>615</v>
      </c>
      <c r="L46" s="329"/>
      <c r="M46" s="321"/>
      <c r="N46"/>
      <c r="O46"/>
      <c r="P46"/>
      <c r="Q46"/>
      <c r="R46"/>
      <c r="S46"/>
      <c r="T46"/>
      <c r="U46"/>
    </row>
    <row r="47" spans="1:29" s="8" customFormat="1" ht="21" x14ac:dyDescent="0.4">
      <c r="A47" s="245"/>
      <c r="B47" s="350"/>
      <c r="C47" s="846" t="s">
        <v>399</v>
      </c>
      <c r="D47" s="845"/>
      <c r="E47" s="324"/>
      <c r="F47" s="338">
        <f>IF('Gårdens info'!$D$31&gt;0,J47/'Gårdens info'!$D$31,0)</f>
        <v>0</v>
      </c>
      <c r="G47" s="151" t="s">
        <v>14</v>
      </c>
      <c r="H47" s="339">
        <f>IF('Gårdens info'!$G$31&gt;0,F47/'Gårdens info'!$G$31,0)</f>
        <v>0</v>
      </c>
      <c r="I47" s="151" t="s">
        <v>6</v>
      </c>
      <c r="J47" s="298">
        <f>Ägendom!DM76</f>
        <v>0</v>
      </c>
      <c r="K47" s="151" t="s">
        <v>615</v>
      </c>
      <c r="L47" s="329"/>
      <c r="M47" s="321"/>
    </row>
    <row r="48" spans="1:29" s="8" customFormat="1" ht="20.399999999999999" x14ac:dyDescent="0.35">
      <c r="A48" s="245"/>
      <c r="B48" s="352"/>
      <c r="C48" s="340" t="s">
        <v>196</v>
      </c>
      <c r="D48" s="341"/>
      <c r="E48" s="324"/>
      <c r="F48" s="342">
        <f>SUM(F44:F47)</f>
        <v>0</v>
      </c>
      <c r="G48" s="151" t="s">
        <v>14</v>
      </c>
      <c r="H48" s="348">
        <f t="shared" ref="H48:J48" si="4">SUM(H44:H47)</f>
        <v>0</v>
      </c>
      <c r="I48" s="151" t="s">
        <v>6</v>
      </c>
      <c r="J48" s="342">
        <f t="shared" si="4"/>
        <v>0</v>
      </c>
      <c r="K48" s="151" t="s">
        <v>615</v>
      </c>
      <c r="L48" s="343"/>
      <c r="M48" s="321"/>
    </row>
    <row r="49" spans="1:29" s="8" customFormat="1" ht="21" x14ac:dyDescent="0.4">
      <c r="A49" s="245"/>
      <c r="B49" s="350"/>
      <c r="C49" s="846"/>
      <c r="D49" s="845"/>
      <c r="E49" s="324"/>
      <c r="F49" s="338"/>
      <c r="G49" s="151"/>
      <c r="H49" s="339"/>
      <c r="I49" s="151"/>
      <c r="J49" s="298"/>
      <c r="K49" s="151"/>
      <c r="L49" s="329"/>
      <c r="M49" s="321"/>
    </row>
    <row r="50" spans="1:29" s="8" customFormat="1" ht="21" customHeight="1" x14ac:dyDescent="0.4">
      <c r="A50" s="245"/>
      <c r="B50" s="951" t="s">
        <v>160</v>
      </c>
      <c r="C50" s="952"/>
      <c r="D50" s="845"/>
      <c r="E50" s="324"/>
      <c r="F50" s="338"/>
      <c r="G50" s="151"/>
      <c r="H50" s="339"/>
      <c r="I50" s="151"/>
      <c r="J50" s="298"/>
      <c r="K50" s="151"/>
      <c r="L50" s="329"/>
      <c r="M50" s="321"/>
    </row>
    <row r="51" spans="1:29" s="8" customFormat="1" ht="21" x14ac:dyDescent="0.4">
      <c r="A51" s="245"/>
      <c r="B51" s="350"/>
      <c r="C51" s="846" t="s">
        <v>264</v>
      </c>
      <c r="D51" s="845"/>
      <c r="E51" s="324"/>
      <c r="F51" s="338">
        <f>IF('Gårdens info'!$D$31&gt;0,J51/'Gårdens info'!$D$31,0)</f>
        <v>0</v>
      </c>
      <c r="G51" s="151" t="s">
        <v>14</v>
      </c>
      <c r="H51" s="339">
        <f>IF('Gårdens info'!$G$31&gt;0,F51/'Gårdens info'!$G$31,0)</f>
        <v>0</v>
      </c>
      <c r="I51" s="151" t="s">
        <v>6</v>
      </c>
      <c r="J51" s="298">
        <f>Ägendom!AY79</f>
        <v>0</v>
      </c>
      <c r="K51" s="151" t="s">
        <v>615</v>
      </c>
      <c r="L51" s="329"/>
      <c r="M51" s="321"/>
    </row>
    <row r="52" spans="1:29" s="8" customFormat="1" ht="19.95" customHeight="1" x14ac:dyDescent="0.4">
      <c r="A52" s="245"/>
      <c r="B52" s="350"/>
      <c r="C52" s="846" t="s">
        <v>265</v>
      </c>
      <c r="D52" s="845"/>
      <c r="E52" s="324"/>
      <c r="F52" s="338">
        <f>IF('Gårdens info'!$D$31&gt;0,J52/'Gårdens info'!$D$31,0)</f>
        <v>0</v>
      </c>
      <c r="G52" s="151" t="s">
        <v>14</v>
      </c>
      <c r="H52" s="339">
        <f>IF('Gårdens info'!$G$31&gt;0,F52/'Gårdens info'!$G$31,0)</f>
        <v>0</v>
      </c>
      <c r="I52" s="151" t="s">
        <v>6</v>
      </c>
      <c r="J52" s="298">
        <f>Ägendom!BU79</f>
        <v>0</v>
      </c>
      <c r="K52" s="151" t="s">
        <v>615</v>
      </c>
      <c r="L52" s="329"/>
      <c r="M52" s="321"/>
    </row>
    <row r="53" spans="1:29" s="8" customFormat="1" ht="17.399999999999999" customHeight="1" x14ac:dyDescent="0.3">
      <c r="A53" s="245"/>
      <c r="B53" s="350"/>
      <c r="C53" s="941" t="s">
        <v>266</v>
      </c>
      <c r="D53" s="941"/>
      <c r="E53" s="324"/>
      <c r="F53" s="338">
        <f>IF('Gårdens info'!$D$31&gt;0,J53/'Gårdens info'!$D$31,0)</f>
        <v>22.222222222222218</v>
      </c>
      <c r="G53" s="151" t="s">
        <v>14</v>
      </c>
      <c r="H53" s="339">
        <f>IF('Gårdens info'!$G$31&gt;0,F53/'Gårdens info'!$G$31,0)</f>
        <v>6.3492063492063483E-3</v>
      </c>
      <c r="I53" s="151" t="s">
        <v>6</v>
      </c>
      <c r="J53" s="298">
        <f>Ägendom!CQ79</f>
        <v>66.666666666666657</v>
      </c>
      <c r="K53" s="151" t="s">
        <v>615</v>
      </c>
      <c r="L53" s="329"/>
      <c r="M53" s="321"/>
    </row>
    <row r="54" spans="1:29" s="8" customFormat="1" ht="15.6" x14ac:dyDescent="0.3">
      <c r="A54" s="245"/>
      <c r="B54" s="349"/>
      <c r="C54" s="323" t="s">
        <v>196</v>
      </c>
      <c r="D54" s="323"/>
      <c r="E54" s="323"/>
      <c r="F54" s="342">
        <f>SUM(F51:F53)</f>
        <v>22.222222222222218</v>
      </c>
      <c r="G54" s="151" t="s">
        <v>14</v>
      </c>
      <c r="H54" s="348">
        <f t="shared" ref="H54:J54" si="5">SUM(H51:H53)</f>
        <v>6.3492063492063483E-3</v>
      </c>
      <c r="I54" s="151" t="s">
        <v>6</v>
      </c>
      <c r="J54" s="342">
        <f t="shared" si="5"/>
        <v>66.666666666666657</v>
      </c>
      <c r="K54" s="151" t="s">
        <v>615</v>
      </c>
      <c r="L54" s="347"/>
      <c r="M54" s="353"/>
    </row>
    <row r="55" spans="1:29" s="8" customFormat="1" ht="21" x14ac:dyDescent="0.4">
      <c r="A55" s="245"/>
      <c r="B55" s="932" t="s">
        <v>229</v>
      </c>
      <c r="C55" s="933"/>
      <c r="D55" s="933"/>
      <c r="E55" s="324"/>
      <c r="F55" s="328">
        <f>F34+F41+F48+F54</f>
        <v>593.71234567901229</v>
      </c>
      <c r="G55" s="329" t="s">
        <v>14</v>
      </c>
      <c r="H55" s="330">
        <f>H34+H41+H48+H54</f>
        <v>0.16963209876543209</v>
      </c>
      <c r="I55" s="329" t="s">
        <v>6</v>
      </c>
      <c r="J55" s="331">
        <f>J34+J41+J48+J54</f>
        <v>1781.1370370370371</v>
      </c>
      <c r="K55" s="329" t="s">
        <v>615</v>
      </c>
      <c r="L55" s="329"/>
      <c r="M55" s="321"/>
    </row>
    <row r="56" spans="1:29" s="8" customFormat="1" ht="15.6" x14ac:dyDescent="0.3">
      <c r="A56" s="245"/>
      <c r="B56" s="349"/>
      <c r="C56" s="324"/>
      <c r="D56" s="324"/>
      <c r="E56" s="324"/>
      <c r="F56" s="325"/>
      <c r="G56" s="304"/>
      <c r="H56" s="326"/>
      <c r="I56" s="304"/>
      <c r="J56" s="320"/>
      <c r="K56" s="304"/>
      <c r="L56" s="327"/>
      <c r="M56" s="321"/>
    </row>
    <row r="57" spans="1:29" s="8" customFormat="1" ht="21" x14ac:dyDescent="0.4">
      <c r="A57" s="245"/>
      <c r="B57" s="319" t="s">
        <v>230</v>
      </c>
      <c r="C57" s="324"/>
      <c r="D57" s="324"/>
      <c r="E57" s="324"/>
      <c r="F57" s="325"/>
      <c r="G57" s="304"/>
      <c r="H57" s="326"/>
      <c r="I57" s="304"/>
      <c r="J57" s="320"/>
      <c r="K57" s="304"/>
      <c r="L57" s="327"/>
      <c r="M57" s="321"/>
    </row>
    <row r="58" spans="1:29" s="8" customFormat="1" ht="15" x14ac:dyDescent="0.25">
      <c r="A58" s="245"/>
      <c r="B58" s="296"/>
      <c r="C58" s="289" t="s">
        <v>230</v>
      </c>
      <c r="D58" s="297"/>
      <c r="E58" s="297"/>
      <c r="F58" s="298">
        <f>IF('Gårdens info'!D31&gt;0,H134,0)</f>
        <v>130.5</v>
      </c>
      <c r="G58" s="151" t="s">
        <v>14</v>
      </c>
      <c r="H58" s="299">
        <f>IF('Gårdens info'!G31&gt;0,F58/'Gårdens info'!$G$31,0)</f>
        <v>3.7285714285714283E-2</v>
      </c>
      <c r="I58" s="151" t="s">
        <v>6</v>
      </c>
      <c r="J58" s="298">
        <f>F58*'Gårdens info'!D31</f>
        <v>391.5</v>
      </c>
      <c r="K58" s="151" t="s">
        <v>615</v>
      </c>
      <c r="L58" s="297"/>
      <c r="M58" s="300"/>
    </row>
    <row r="59" spans="1:29" s="8" customFormat="1" ht="17.399999999999999" x14ac:dyDescent="0.3">
      <c r="A59" s="245"/>
      <c r="B59" s="309"/>
      <c r="C59" s="306"/>
      <c r="D59" s="310"/>
      <c r="E59" s="310"/>
      <c r="F59" s="311"/>
      <c r="G59" s="153"/>
      <c r="H59" s="310"/>
      <c r="I59" s="310"/>
      <c r="J59" s="310"/>
      <c r="K59" s="310"/>
      <c r="L59" s="310"/>
      <c r="M59" s="295"/>
    </row>
    <row r="60" spans="1:29" s="8" customFormat="1" ht="21" x14ac:dyDescent="0.4">
      <c r="A60" s="245"/>
      <c r="B60" s="932" t="s">
        <v>230</v>
      </c>
      <c r="C60" s="933"/>
      <c r="D60" s="933"/>
      <c r="E60" s="324"/>
      <c r="F60" s="328">
        <f>F58</f>
        <v>130.5</v>
      </c>
      <c r="G60" s="329" t="s">
        <v>14</v>
      </c>
      <c r="H60" s="330">
        <f>H58</f>
        <v>3.7285714285714283E-2</v>
      </c>
      <c r="I60" s="329" t="s">
        <v>6</v>
      </c>
      <c r="J60" s="331">
        <f>J58</f>
        <v>391.5</v>
      </c>
      <c r="K60" s="329" t="s">
        <v>615</v>
      </c>
      <c r="L60" s="329"/>
      <c r="M60" s="321"/>
    </row>
    <row r="61" spans="1:29" s="8" customFormat="1" ht="21" x14ac:dyDescent="0.4">
      <c r="A61" s="245"/>
      <c r="B61" s="689"/>
      <c r="C61" s="690"/>
      <c r="D61" s="690"/>
      <c r="E61" s="324"/>
      <c r="F61" s="328"/>
      <c r="G61" s="329"/>
      <c r="H61" s="330"/>
      <c r="I61" s="329"/>
      <c r="J61" s="331"/>
      <c r="K61" s="329"/>
      <c r="L61" s="329"/>
      <c r="M61" s="321"/>
    </row>
    <row r="62" spans="1:29" s="8" customFormat="1" ht="21" x14ac:dyDescent="0.4">
      <c r="A62" s="245"/>
      <c r="B62" s="932" t="s">
        <v>616</v>
      </c>
      <c r="C62" s="933"/>
      <c r="D62" s="933"/>
      <c r="E62" s="324"/>
      <c r="F62" s="328">
        <f>F26+F55+F60</f>
        <v>2045.5434938271603</v>
      </c>
      <c r="G62" s="329" t="s">
        <v>14</v>
      </c>
      <c r="H62" s="705">
        <f>H26+H55+H60</f>
        <v>0.58444099823633144</v>
      </c>
      <c r="I62" s="329" t="s">
        <v>6</v>
      </c>
      <c r="J62" s="328">
        <f>J26+J55+J60</f>
        <v>6136.6304814814812</v>
      </c>
      <c r="K62" s="329" t="s">
        <v>615</v>
      </c>
      <c r="L62" s="329"/>
      <c r="M62" s="321"/>
    </row>
    <row r="63" spans="1:29" s="8" customFormat="1" ht="21" x14ac:dyDescent="0.4">
      <c r="A63" s="245"/>
      <c r="B63" s="351"/>
      <c r="C63" s="332"/>
      <c r="D63" s="332"/>
      <c r="E63" s="324"/>
      <c r="F63" s="328"/>
      <c r="G63" s="329"/>
      <c r="H63" s="330"/>
      <c r="I63" s="329"/>
      <c r="J63" s="331"/>
      <c r="K63" s="329"/>
      <c r="L63" s="329"/>
      <c r="M63" s="321"/>
    </row>
    <row r="64" spans="1:29" s="8" customFormat="1" ht="21.6" thickBot="1" x14ac:dyDescent="0.45">
      <c r="A64" s="245"/>
      <c r="B64" s="936" t="s">
        <v>269</v>
      </c>
      <c r="C64" s="937"/>
      <c r="D64" s="937"/>
      <c r="E64" s="315"/>
      <c r="F64" s="355">
        <f>F11-F26-F55-F60</f>
        <v>-1100.5434938271601</v>
      </c>
      <c r="G64" s="356" t="s">
        <v>14</v>
      </c>
      <c r="H64" s="357">
        <f>H11-H26-H55-H60</f>
        <v>-0.31444099823633143</v>
      </c>
      <c r="I64" s="356" t="s">
        <v>6</v>
      </c>
      <c r="J64" s="355">
        <f>J11-J26-J55-J60</f>
        <v>-3301.6304814814812</v>
      </c>
      <c r="K64" s="356" t="s">
        <v>615</v>
      </c>
      <c r="L64" s="356"/>
      <c r="M64" s="316"/>
      <c r="AB64" s="239"/>
      <c r="AC64" s="239"/>
    </row>
    <row r="65" spans="1:29" s="8" customFormat="1" ht="21" x14ac:dyDescent="0.4">
      <c r="A65" s="245"/>
      <c r="B65" s="76"/>
      <c r="C65"/>
      <c r="D65"/>
      <c r="E65"/>
      <c r="F65"/>
      <c r="G65"/>
      <c r="H65"/>
      <c r="I65"/>
      <c r="J65"/>
      <c r="K65"/>
      <c r="L65"/>
      <c r="M65"/>
    </row>
    <row r="66" spans="1:29" s="239" customFormat="1" ht="16.2" thickBot="1" x14ac:dyDescent="0.35">
      <c r="A66" s="609"/>
      <c r="B66"/>
      <c r="C66"/>
      <c r="D66"/>
      <c r="E66"/>
      <c r="F66"/>
      <c r="G66"/>
      <c r="H66"/>
      <c r="I66"/>
      <c r="J66"/>
      <c r="K66"/>
      <c r="L66"/>
      <c r="M66"/>
      <c r="N66" s="8"/>
      <c r="O66" s="8"/>
      <c r="P66" s="8"/>
      <c r="Q66" s="8"/>
      <c r="R66" s="8"/>
      <c r="S66" s="8"/>
      <c r="T66" s="8"/>
      <c r="U66" s="8"/>
      <c r="AB66" s="8"/>
      <c r="AC66" s="8"/>
    </row>
    <row r="67" spans="1:29" s="8" customFormat="1" ht="21.6" thickBot="1" x14ac:dyDescent="0.45">
      <c r="A67" s="245"/>
      <c r="B67" s="953" t="s">
        <v>368</v>
      </c>
      <c r="C67" s="954"/>
      <c r="D67" s="954"/>
      <c r="E67" s="955"/>
      <c r="F67"/>
      <c r="G67"/>
      <c r="H67"/>
      <c r="I67"/>
      <c r="J67"/>
      <c r="K67"/>
      <c r="L67" s="956" t="s">
        <v>271</v>
      </c>
      <c r="M67" s="956"/>
      <c r="AB67"/>
      <c r="AC67"/>
    </row>
    <row r="68" spans="1:29" s="8" customFormat="1" ht="21" x14ac:dyDescent="0.4">
      <c r="A68" s="245"/>
      <c r="B68" s="401"/>
      <c r="C68" s="401"/>
      <c r="D68" s="401"/>
      <c r="E68" s="401"/>
      <c r="F68" s="534"/>
      <c r="G68" s="534"/>
      <c r="H68" s="534"/>
      <c r="I68" s="534"/>
      <c r="J68" s="534"/>
      <c r="K68" s="534"/>
      <c r="L68" s="564"/>
      <c r="M68" s="564"/>
      <c r="AB68"/>
      <c r="AC68"/>
    </row>
    <row r="69" spans="1:29" ht="15.6" x14ac:dyDescent="0.3">
      <c r="B69" s="113" t="s">
        <v>272</v>
      </c>
      <c r="C69" s="65"/>
      <c r="D69" s="65"/>
      <c r="E69" s="65"/>
      <c r="F69" s="959" t="s">
        <v>159</v>
      </c>
      <c r="G69" s="959"/>
      <c r="H69" s="959" t="s">
        <v>158</v>
      </c>
      <c r="I69" s="959"/>
      <c r="J69" s="959" t="s">
        <v>324</v>
      </c>
      <c r="K69" s="959"/>
      <c r="L69" s="143" t="s">
        <v>274</v>
      </c>
      <c r="M69" s="67"/>
    </row>
    <row r="70" spans="1:29" ht="13.8" thickBot="1" x14ac:dyDescent="0.3">
      <c r="B70" s="69"/>
      <c r="C70" s="65"/>
      <c r="D70" s="65"/>
      <c r="E70" s="65"/>
      <c r="F70" s="65"/>
      <c r="G70" s="65"/>
      <c r="H70" s="65"/>
      <c r="I70" s="65"/>
      <c r="J70" s="67"/>
      <c r="K70" s="67"/>
      <c r="L70" s="67"/>
      <c r="M70" s="67"/>
    </row>
    <row r="71" spans="1:29" ht="13.8" thickBot="1" x14ac:dyDescent="0.3">
      <c r="B71" s="69"/>
      <c r="C71" s="65" t="s">
        <v>217</v>
      </c>
      <c r="D71" s="65"/>
      <c r="E71" s="65"/>
      <c r="F71" s="96">
        <v>270</v>
      </c>
      <c r="G71" s="65" t="s">
        <v>1</v>
      </c>
      <c r="H71" s="96">
        <v>0.4</v>
      </c>
      <c r="I71" s="70" t="s">
        <v>6</v>
      </c>
      <c r="J71" s="235">
        <f>F71*H71</f>
        <v>108</v>
      </c>
      <c r="K71" s="65" t="s">
        <v>14</v>
      </c>
      <c r="L71" s="67"/>
      <c r="M71" s="67"/>
      <c r="AB71" s="8"/>
      <c r="AC71" s="8"/>
    </row>
    <row r="72" spans="1:29" ht="13.8" thickBot="1" x14ac:dyDescent="0.3">
      <c r="B72" s="65"/>
      <c r="C72" s="66" t="s">
        <v>499</v>
      </c>
      <c r="D72" s="67"/>
      <c r="E72" s="65"/>
      <c r="F72" s="96"/>
      <c r="G72" s="65" t="s">
        <v>1</v>
      </c>
      <c r="H72" s="96"/>
      <c r="I72" s="70" t="s">
        <v>6</v>
      </c>
      <c r="J72" s="235">
        <f>F72*H72</f>
        <v>0</v>
      </c>
      <c r="K72" s="65" t="s">
        <v>14</v>
      </c>
      <c r="L72" s="65"/>
      <c r="M72" s="67"/>
    </row>
    <row r="73" spans="1:29" s="8" customFormat="1" x14ac:dyDescent="0.25">
      <c r="A73" s="245"/>
      <c r="B73" s="71"/>
      <c r="C73" s="71" t="s">
        <v>196</v>
      </c>
      <c r="D73" s="572"/>
      <c r="E73" s="71"/>
      <c r="F73" s="277"/>
      <c r="G73" s="573"/>
      <c r="H73" s="574"/>
      <c r="I73" s="279"/>
      <c r="J73" s="280"/>
      <c r="K73" s="71"/>
      <c r="L73" s="71"/>
      <c r="M73" s="71"/>
    </row>
    <row r="74" spans="1:29" ht="17.399999999999999" x14ac:dyDescent="0.3">
      <c r="B74" s="535"/>
      <c r="C74" s="535"/>
      <c r="D74" s="569"/>
      <c r="E74" s="535"/>
      <c r="F74" s="570"/>
      <c r="G74" s="535"/>
      <c r="H74" s="307"/>
      <c r="I74" s="537"/>
      <c r="J74" s="571"/>
      <c r="K74" s="535"/>
      <c r="L74" s="534"/>
      <c r="M74" s="534"/>
      <c r="AB74" s="77"/>
      <c r="AC74" s="77"/>
    </row>
    <row r="75" spans="1:29" s="8" customFormat="1" ht="17.399999999999999" x14ac:dyDescent="0.3">
      <c r="A75" s="245"/>
      <c r="B75" s="120" t="s">
        <v>275</v>
      </c>
      <c r="C75" s="121"/>
      <c r="D75" s="121"/>
      <c r="E75" s="121"/>
      <c r="F75" s="960" t="s">
        <v>159</v>
      </c>
      <c r="G75" s="960"/>
      <c r="H75" s="960" t="s">
        <v>158</v>
      </c>
      <c r="I75" s="960"/>
      <c r="J75" s="960" t="s">
        <v>324</v>
      </c>
      <c r="K75" s="960"/>
      <c r="L75" s="123"/>
      <c r="M75" s="123"/>
      <c r="AB75" s="77"/>
      <c r="AC75" s="77"/>
    </row>
    <row r="76" spans="1:29" s="77" customFormat="1" ht="18" thickBot="1" x14ac:dyDescent="0.35">
      <c r="A76" s="606"/>
      <c r="B76" s="121"/>
      <c r="C76" s="121"/>
      <c r="D76" s="121"/>
      <c r="E76" s="121"/>
      <c r="F76" s="121"/>
      <c r="G76" s="121"/>
      <c r="H76" s="122"/>
      <c r="I76" s="122"/>
      <c r="J76" s="123"/>
      <c r="K76" s="123"/>
      <c r="L76" s="123"/>
      <c r="M76" s="123"/>
      <c r="N76" s="8"/>
      <c r="O76" s="8"/>
      <c r="P76" s="8"/>
      <c r="Q76" s="8"/>
      <c r="R76" s="8"/>
      <c r="S76" s="8"/>
      <c r="T76" s="8"/>
      <c r="U76" s="8"/>
      <c r="AB76"/>
      <c r="AC76"/>
    </row>
    <row r="77" spans="1:29" s="77" customFormat="1" ht="18" thickBot="1" x14ac:dyDescent="0.35">
      <c r="A77" s="606"/>
      <c r="B77" s="121"/>
      <c r="C77" s="121" t="s">
        <v>76</v>
      </c>
      <c r="D77" s="121"/>
      <c r="E77" s="121"/>
      <c r="F77" s="96">
        <v>370</v>
      </c>
      <c r="G77" s="121" t="s">
        <v>21</v>
      </c>
      <c r="H77" s="99">
        <v>0.41</v>
      </c>
      <c r="I77" s="122" t="s">
        <v>6</v>
      </c>
      <c r="J77" s="124">
        <f t="shared" ref="J77:J78" si="6">F77*H77</f>
        <v>151.69999999999999</v>
      </c>
      <c r="K77" s="121" t="s">
        <v>14</v>
      </c>
      <c r="L77" s="123"/>
      <c r="M77" s="123"/>
      <c r="AB77" s="91"/>
      <c r="AC77" s="91"/>
    </row>
    <row r="78" spans="1:29" ht="15.6" thickBot="1" x14ac:dyDescent="0.3">
      <c r="B78" s="121"/>
      <c r="C78" s="121" t="s">
        <v>32</v>
      </c>
      <c r="D78" s="121"/>
      <c r="E78" s="121"/>
      <c r="F78" s="96"/>
      <c r="G78" s="121" t="s">
        <v>21</v>
      </c>
      <c r="H78" s="99"/>
      <c r="I78" s="122" t="s">
        <v>6</v>
      </c>
      <c r="J78" s="124">
        <f t="shared" si="6"/>
        <v>0</v>
      </c>
      <c r="K78" s="121" t="s">
        <v>14</v>
      </c>
      <c r="L78" s="123"/>
      <c r="M78" s="123"/>
      <c r="N78" s="91"/>
      <c r="O78" s="91"/>
      <c r="P78" s="91"/>
      <c r="Q78" s="91"/>
      <c r="R78" s="91"/>
      <c r="S78" s="91"/>
      <c r="T78" s="91"/>
      <c r="U78" s="91"/>
      <c r="AB78" s="8"/>
      <c r="AC78" s="8"/>
    </row>
    <row r="79" spans="1:29" s="91" customFormat="1" ht="17.399999999999999" x14ac:dyDescent="0.3">
      <c r="A79" s="607"/>
      <c r="B79" s="270"/>
      <c r="C79" s="270" t="s">
        <v>16</v>
      </c>
      <c r="D79" s="270"/>
      <c r="E79" s="270"/>
      <c r="F79" s="270"/>
      <c r="G79" s="270"/>
      <c r="H79" s="270"/>
      <c r="I79" s="271"/>
      <c r="J79" s="272">
        <f>SUM(J77:J78)</f>
        <v>151.69999999999999</v>
      </c>
      <c r="K79" s="270" t="s">
        <v>14</v>
      </c>
      <c r="L79" s="270"/>
      <c r="M79" s="270"/>
      <c r="N79" s="77"/>
      <c r="O79" s="77"/>
      <c r="P79" s="77"/>
      <c r="Q79" s="77"/>
      <c r="R79" s="77"/>
      <c r="S79" s="77"/>
      <c r="T79" s="77"/>
      <c r="U79" s="77"/>
      <c r="AB79" s="8"/>
      <c r="AC79" s="8"/>
    </row>
    <row r="80" spans="1:29" s="8" customFormat="1" x14ac:dyDescent="0.25">
      <c r="A80" s="245"/>
      <c r="B80" s="121"/>
      <c r="C80" s="121"/>
      <c r="D80" s="121"/>
      <c r="E80" s="121"/>
      <c r="F80" s="121"/>
      <c r="G80" s="121"/>
      <c r="H80" s="121"/>
      <c r="I80" s="122"/>
      <c r="J80" s="124"/>
      <c r="K80" s="121"/>
      <c r="L80" s="123"/>
      <c r="M80" s="123"/>
      <c r="N80"/>
      <c r="O80"/>
      <c r="P80"/>
      <c r="Q80"/>
      <c r="R80"/>
      <c r="S80"/>
      <c r="T80"/>
      <c r="U80"/>
    </row>
    <row r="81" spans="1:29" s="8" customFormat="1" ht="15" x14ac:dyDescent="0.25">
      <c r="A81" s="245"/>
      <c r="B81"/>
      <c r="C81"/>
      <c r="D81"/>
      <c r="E81"/>
      <c r="F81"/>
      <c r="G81"/>
      <c r="H81"/>
      <c r="I81"/>
      <c r="J81"/>
      <c r="K81"/>
      <c r="L81"/>
      <c r="M81"/>
      <c r="N81" s="91"/>
      <c r="O81" s="91"/>
      <c r="P81" s="91"/>
      <c r="Q81" s="91"/>
      <c r="R81" s="91"/>
      <c r="S81" s="91"/>
      <c r="T81" s="91"/>
      <c r="U81" s="91"/>
      <c r="AB81"/>
      <c r="AC81"/>
    </row>
    <row r="82" spans="1:29" s="8" customFormat="1" ht="15.6" x14ac:dyDescent="0.3">
      <c r="A82" s="245"/>
      <c r="B82" s="109" t="s">
        <v>282</v>
      </c>
      <c r="C82" s="72"/>
      <c r="D82" s="72"/>
      <c r="E82" s="72"/>
      <c r="F82" s="957" t="s">
        <v>159</v>
      </c>
      <c r="G82" s="957"/>
      <c r="H82" s="958" t="s">
        <v>158</v>
      </c>
      <c r="I82" s="958"/>
      <c r="J82" s="957" t="s">
        <v>324</v>
      </c>
      <c r="K82" s="957"/>
      <c r="L82" s="79"/>
      <c r="M82" s="79"/>
      <c r="AB82"/>
      <c r="AC82"/>
    </row>
    <row r="83" spans="1:29" x14ac:dyDescent="0.25">
      <c r="B83" s="72"/>
      <c r="C83" s="72"/>
      <c r="D83" s="72"/>
      <c r="E83" s="72"/>
      <c r="F83" s="74"/>
      <c r="G83" s="74"/>
      <c r="H83" s="73"/>
      <c r="I83" s="73"/>
      <c r="J83" s="73"/>
      <c r="K83" s="79"/>
      <c r="L83" s="79"/>
      <c r="M83" s="79"/>
      <c r="N83" s="8"/>
      <c r="O83" s="8"/>
      <c r="P83" s="8"/>
      <c r="Q83" s="8"/>
      <c r="R83" s="8"/>
      <c r="S83" s="8"/>
      <c r="T83" s="8"/>
      <c r="U83" s="8"/>
    </row>
    <row r="84" spans="1:29" ht="15.6" x14ac:dyDescent="0.3">
      <c r="B84" s="109"/>
      <c r="C84" s="72"/>
      <c r="D84" s="462" t="s">
        <v>364</v>
      </c>
      <c r="E84" s="72"/>
      <c r="F84" s="128"/>
      <c r="G84" s="128"/>
      <c r="H84" s="127"/>
      <c r="I84" s="127"/>
      <c r="J84" s="128"/>
      <c r="K84" s="128"/>
      <c r="L84" s="79"/>
      <c r="M84" s="79"/>
    </row>
    <row r="85" spans="1:29" x14ac:dyDescent="0.25">
      <c r="B85" s="214" t="s">
        <v>357</v>
      </c>
      <c r="C85" s="72"/>
      <c r="D85" s="72"/>
      <c r="E85" s="72"/>
      <c r="F85" s="74"/>
      <c r="G85" s="74"/>
      <c r="H85" s="73"/>
      <c r="I85" s="73"/>
      <c r="J85" s="79"/>
      <c r="K85" s="79"/>
      <c r="L85" s="79"/>
      <c r="M85" s="79"/>
    </row>
    <row r="86" spans="1:29" ht="13.8" thickBot="1" x14ac:dyDescent="0.3">
      <c r="B86" s="214"/>
      <c r="C86" s="72"/>
      <c r="D86" s="72"/>
      <c r="E86" s="72"/>
      <c r="F86" s="74"/>
      <c r="G86" s="74"/>
      <c r="H86" s="73"/>
      <c r="I86" s="73"/>
      <c r="J86" s="79"/>
      <c r="K86" s="79"/>
      <c r="L86" s="79"/>
      <c r="M86" s="79"/>
    </row>
    <row r="87" spans="1:29" ht="13.8" thickBot="1" x14ac:dyDescent="0.3">
      <c r="B87" s="72"/>
      <c r="C87" s="72" t="s">
        <v>77</v>
      </c>
      <c r="D87" s="79"/>
      <c r="E87" s="72"/>
      <c r="F87" s="119">
        <v>0.8</v>
      </c>
      <c r="G87" s="74" t="s">
        <v>20</v>
      </c>
      <c r="H87" s="99">
        <v>15.32</v>
      </c>
      <c r="I87" s="73" t="s">
        <v>5</v>
      </c>
      <c r="J87" s="568">
        <f t="shared" ref="J87:J91" si="7">F87*H87</f>
        <v>12.256</v>
      </c>
      <c r="K87" s="72" t="s">
        <v>14</v>
      </c>
      <c r="L87" s="79"/>
      <c r="M87" s="79"/>
    </row>
    <row r="88" spans="1:29" ht="13.8" thickBot="1" x14ac:dyDescent="0.3">
      <c r="B88" s="72"/>
      <c r="C88" s="72" t="s">
        <v>78</v>
      </c>
      <c r="D88" s="72"/>
      <c r="E88" s="72"/>
      <c r="F88" s="119">
        <v>7.5</v>
      </c>
      <c r="G88" s="74" t="s">
        <v>62</v>
      </c>
      <c r="H88" s="99">
        <v>2.15</v>
      </c>
      <c r="I88" s="73" t="s">
        <v>63</v>
      </c>
      <c r="J88" s="568">
        <f t="shared" si="7"/>
        <v>16.125</v>
      </c>
      <c r="K88" s="72" t="s">
        <v>14</v>
      </c>
      <c r="L88" s="79"/>
      <c r="M88" s="79"/>
    </row>
    <row r="89" spans="1:29" ht="13.8" thickBot="1" x14ac:dyDescent="0.3">
      <c r="B89" s="72"/>
      <c r="C89" s="72" t="s">
        <v>79</v>
      </c>
      <c r="D89" s="72"/>
      <c r="E89" s="72"/>
      <c r="F89" s="119">
        <v>0.3</v>
      </c>
      <c r="G89" s="74" t="s">
        <v>62</v>
      </c>
      <c r="H89" s="99">
        <v>42.34</v>
      </c>
      <c r="I89" s="73" t="s">
        <v>5</v>
      </c>
      <c r="J89" s="568">
        <f t="shared" ref="J89:J90" si="8">F89*H89</f>
        <v>12.702</v>
      </c>
      <c r="K89" s="72" t="s">
        <v>14</v>
      </c>
      <c r="L89" s="79"/>
      <c r="M89" s="79"/>
    </row>
    <row r="90" spans="1:29" ht="13.8" thickBot="1" x14ac:dyDescent="0.3">
      <c r="B90" s="72"/>
      <c r="C90" s="72" t="s">
        <v>326</v>
      </c>
      <c r="D90" s="72"/>
      <c r="E90" s="72"/>
      <c r="F90" s="119"/>
      <c r="G90" s="74" t="s">
        <v>20</v>
      </c>
      <c r="H90" s="99"/>
      <c r="I90" s="73" t="s">
        <v>5</v>
      </c>
      <c r="J90" s="568">
        <f t="shared" si="8"/>
        <v>0</v>
      </c>
      <c r="K90" s="72" t="s">
        <v>14</v>
      </c>
      <c r="L90" s="79"/>
      <c r="M90" s="79"/>
    </row>
    <row r="91" spans="1:29" ht="13.8" thickBot="1" x14ac:dyDescent="0.3">
      <c r="B91" s="72"/>
      <c r="C91" s="72" t="s">
        <v>326</v>
      </c>
      <c r="D91" s="72"/>
      <c r="E91" s="72"/>
      <c r="F91" s="119"/>
      <c r="G91" s="74" t="s">
        <v>20</v>
      </c>
      <c r="H91" s="99"/>
      <c r="I91" s="73" t="s">
        <v>5</v>
      </c>
      <c r="J91" s="568">
        <f t="shared" si="7"/>
        <v>0</v>
      </c>
      <c r="K91" s="72" t="s">
        <v>14</v>
      </c>
      <c r="L91" s="79"/>
      <c r="M91" s="79"/>
    </row>
    <row r="92" spans="1:29" x14ac:dyDescent="0.25">
      <c r="B92" s="72"/>
      <c r="C92" s="72"/>
      <c r="D92" s="72"/>
      <c r="E92" s="72"/>
      <c r="F92" s="212"/>
      <c r="G92" s="74"/>
      <c r="H92" s="213"/>
      <c r="I92" s="73"/>
      <c r="J92" s="79"/>
      <c r="K92" s="72"/>
      <c r="L92" s="79"/>
      <c r="M92" s="79"/>
    </row>
    <row r="93" spans="1:29" ht="13.8" thickBot="1" x14ac:dyDescent="0.3">
      <c r="B93" s="214" t="s">
        <v>358</v>
      </c>
      <c r="C93" s="72"/>
      <c r="D93" s="72"/>
      <c r="E93" s="72"/>
      <c r="F93" s="212"/>
      <c r="G93" s="74"/>
      <c r="H93" s="213"/>
      <c r="I93" s="73"/>
      <c r="J93" s="79"/>
      <c r="K93" s="72"/>
      <c r="L93" s="79"/>
      <c r="M93" s="79"/>
    </row>
    <row r="94" spans="1:29" ht="13.8" thickBot="1" x14ac:dyDescent="0.3">
      <c r="B94" s="72"/>
      <c r="C94" s="72" t="s">
        <v>326</v>
      </c>
      <c r="D94" s="72"/>
      <c r="E94" s="72"/>
      <c r="F94" s="119"/>
      <c r="G94" s="74" t="s">
        <v>20</v>
      </c>
      <c r="H94" s="119"/>
      <c r="I94" s="73" t="s">
        <v>5</v>
      </c>
      <c r="J94" s="79">
        <f t="shared" ref="J94:J96" si="9">F94*H94</f>
        <v>0</v>
      </c>
      <c r="K94" s="72" t="s">
        <v>14</v>
      </c>
      <c r="L94" s="79"/>
      <c r="M94" s="79"/>
    </row>
    <row r="95" spans="1:29" ht="13.8" thickBot="1" x14ac:dyDescent="0.3">
      <c r="B95" s="72"/>
      <c r="C95" s="72" t="s">
        <v>326</v>
      </c>
      <c r="D95" s="72"/>
      <c r="E95" s="72"/>
      <c r="F95" s="119"/>
      <c r="G95" s="74" t="s">
        <v>20</v>
      </c>
      <c r="H95" s="119"/>
      <c r="I95" s="73" t="s">
        <v>5</v>
      </c>
      <c r="J95" s="79">
        <f t="shared" si="9"/>
        <v>0</v>
      </c>
      <c r="K95" s="72" t="s">
        <v>14</v>
      </c>
      <c r="L95" s="79"/>
      <c r="M95" s="79"/>
      <c r="AB95" s="8"/>
      <c r="AC95" s="8"/>
    </row>
    <row r="96" spans="1:29" ht="13.8" thickBot="1" x14ac:dyDescent="0.3">
      <c r="B96" s="72"/>
      <c r="C96" s="72" t="s">
        <v>326</v>
      </c>
      <c r="D96" s="72"/>
      <c r="E96" s="72"/>
      <c r="F96" s="119"/>
      <c r="G96" s="74" t="s">
        <v>20</v>
      </c>
      <c r="H96" s="119"/>
      <c r="I96" s="73" t="s">
        <v>5</v>
      </c>
      <c r="J96" s="79">
        <f t="shared" si="9"/>
        <v>0</v>
      </c>
      <c r="K96" s="72" t="s">
        <v>14</v>
      </c>
      <c r="L96" s="79"/>
      <c r="M96" s="79"/>
    </row>
    <row r="97" spans="1:29" s="8" customFormat="1" x14ac:dyDescent="0.25">
      <c r="A97" s="245"/>
      <c r="B97" s="241"/>
      <c r="C97" s="241" t="s">
        <v>196</v>
      </c>
      <c r="D97" s="241"/>
      <c r="E97" s="241"/>
      <c r="F97" s="273"/>
      <c r="G97" s="242"/>
      <c r="H97" s="273"/>
      <c r="I97" s="243"/>
      <c r="J97" s="243">
        <f>SUM(J87:J96)</f>
        <v>41.082999999999998</v>
      </c>
      <c r="K97" s="241" t="s">
        <v>14</v>
      </c>
      <c r="L97" s="241"/>
      <c r="M97" s="241"/>
      <c r="AB97"/>
      <c r="AC97"/>
    </row>
    <row r="98" spans="1:29" x14ac:dyDescent="0.25">
      <c r="B98" s="72"/>
      <c r="C98" s="72"/>
      <c r="D98" s="72"/>
      <c r="E98" s="72"/>
      <c r="F98" s="74"/>
      <c r="G98" s="74"/>
      <c r="H98" s="73"/>
      <c r="I98" s="73"/>
      <c r="J98" s="79"/>
      <c r="K98" s="72"/>
      <c r="L98" s="79"/>
      <c r="M98" s="79"/>
    </row>
    <row r="99" spans="1:29" x14ac:dyDescent="0.25">
      <c r="A99" s="610"/>
      <c r="N99" s="5"/>
      <c r="O99" s="5"/>
    </row>
    <row r="100" spans="1:29" ht="15.6" x14ac:dyDescent="0.3">
      <c r="A100" s="610"/>
      <c r="B100" s="219" t="s">
        <v>293</v>
      </c>
      <c r="C100" s="220"/>
      <c r="D100" s="220"/>
      <c r="E100" s="220"/>
      <c r="F100" s="964" t="s">
        <v>159</v>
      </c>
      <c r="G100" s="964"/>
      <c r="H100" s="964" t="s">
        <v>158</v>
      </c>
      <c r="I100" s="964"/>
      <c r="J100" s="964" t="s">
        <v>324</v>
      </c>
      <c r="K100" s="964"/>
      <c r="L100" s="222"/>
      <c r="M100" s="222"/>
      <c r="N100" s="5"/>
    </row>
    <row r="101" spans="1:29" ht="13.8" thickBot="1" x14ac:dyDescent="0.3">
      <c r="A101" s="610"/>
      <c r="B101" s="220"/>
      <c r="C101" s="220"/>
      <c r="D101" s="220"/>
      <c r="E101" s="220"/>
      <c r="F101" s="220"/>
      <c r="G101" s="220"/>
      <c r="H101" s="221"/>
      <c r="I101" s="221"/>
      <c r="J101" s="222"/>
      <c r="K101" s="222"/>
      <c r="L101" s="222"/>
      <c r="M101" s="222"/>
      <c r="N101" s="5"/>
    </row>
    <row r="102" spans="1:29" ht="13.8" thickBot="1" x14ac:dyDescent="0.3">
      <c r="A102" s="610"/>
      <c r="B102" s="220"/>
      <c r="C102" s="220" t="s">
        <v>632</v>
      </c>
      <c r="D102" s="222"/>
      <c r="E102" s="220"/>
      <c r="F102" s="96">
        <v>1</v>
      </c>
      <c r="G102" s="220" t="s">
        <v>0</v>
      </c>
      <c r="H102" s="99">
        <v>80</v>
      </c>
      <c r="I102" s="221" t="s">
        <v>14</v>
      </c>
      <c r="J102" s="223">
        <f t="shared" ref="J102:J105" si="10">F102*H102</f>
        <v>80</v>
      </c>
      <c r="K102" s="220" t="s">
        <v>14</v>
      </c>
      <c r="L102" s="222"/>
      <c r="M102" s="222"/>
      <c r="N102" s="5"/>
    </row>
    <row r="103" spans="1:29" ht="13.8" thickBot="1" x14ac:dyDescent="0.3">
      <c r="A103" s="610"/>
      <c r="B103" s="220"/>
      <c r="C103" s="220" t="s">
        <v>633</v>
      </c>
      <c r="D103" s="222"/>
      <c r="E103" s="220"/>
      <c r="F103" s="98">
        <v>1</v>
      </c>
      <c r="G103" s="220" t="s">
        <v>0</v>
      </c>
      <c r="H103" s="98">
        <f>45*7</f>
        <v>315</v>
      </c>
      <c r="I103" s="221" t="s">
        <v>14</v>
      </c>
      <c r="J103" s="223">
        <f t="shared" ref="J103" si="11">F103*H103</f>
        <v>315</v>
      </c>
      <c r="K103" s="220" t="s">
        <v>14</v>
      </c>
      <c r="L103" s="222"/>
      <c r="M103" s="222"/>
      <c r="N103" s="5"/>
    </row>
    <row r="104" spans="1:29" ht="13.8" thickBot="1" x14ac:dyDescent="0.3">
      <c r="B104" s="220"/>
      <c r="C104" s="220" t="s">
        <v>294</v>
      </c>
      <c r="D104" s="220"/>
      <c r="E104" s="220"/>
      <c r="F104" s="96"/>
      <c r="G104" s="220" t="s">
        <v>0</v>
      </c>
      <c r="H104" s="99"/>
      <c r="I104" s="221" t="s">
        <v>14</v>
      </c>
      <c r="J104" s="223">
        <f t="shared" si="10"/>
        <v>0</v>
      </c>
      <c r="K104" s="220" t="s">
        <v>14</v>
      </c>
      <c r="L104" s="222"/>
      <c r="M104" s="222"/>
      <c r="AB104" s="8"/>
      <c r="AC104" s="8"/>
    </row>
    <row r="105" spans="1:29" ht="13.8" thickBot="1" x14ac:dyDescent="0.3">
      <c r="B105" s="220"/>
      <c r="C105" s="220" t="s">
        <v>294</v>
      </c>
      <c r="D105" s="220"/>
      <c r="E105" s="220"/>
      <c r="F105" s="96"/>
      <c r="G105" s="220" t="s">
        <v>0</v>
      </c>
      <c r="H105" s="99"/>
      <c r="I105" s="221" t="s">
        <v>14</v>
      </c>
      <c r="J105" s="223">
        <f t="shared" si="10"/>
        <v>0</v>
      </c>
      <c r="K105" s="220" t="s">
        <v>14</v>
      </c>
      <c r="L105" s="222"/>
      <c r="M105" s="222"/>
    </row>
    <row r="106" spans="1:29" s="8" customFormat="1" x14ac:dyDescent="0.25">
      <c r="A106" s="245"/>
      <c r="B106" s="255"/>
      <c r="C106" s="255" t="s">
        <v>196</v>
      </c>
      <c r="D106" s="255"/>
      <c r="E106" s="255"/>
      <c r="F106" s="256"/>
      <c r="G106" s="255"/>
      <c r="H106" s="257"/>
      <c r="I106" s="258"/>
      <c r="J106" s="259">
        <f>SUM(J102:J105)</f>
        <v>395</v>
      </c>
      <c r="K106" s="255" t="s">
        <v>14</v>
      </c>
      <c r="L106" s="255"/>
      <c r="M106" s="255"/>
      <c r="N106"/>
      <c r="O106"/>
      <c r="P106"/>
      <c r="Q106"/>
      <c r="R106"/>
      <c r="S106"/>
      <c r="T106"/>
      <c r="U106"/>
      <c r="AB106"/>
      <c r="AC106"/>
    </row>
    <row r="107" spans="1:29" x14ac:dyDescent="0.25">
      <c r="B107" s="220"/>
      <c r="C107" s="220"/>
      <c r="D107" s="220"/>
      <c r="E107" s="220"/>
      <c r="F107" s="220"/>
      <c r="G107" s="220"/>
      <c r="H107" s="221"/>
      <c r="I107" s="221"/>
      <c r="J107" s="223"/>
      <c r="K107" s="220"/>
      <c r="L107" s="222"/>
      <c r="M107" s="222"/>
    </row>
    <row r="108" spans="1:29" ht="30" customHeight="1" x14ac:dyDescent="0.25">
      <c r="N108" s="8"/>
      <c r="O108" s="8"/>
      <c r="P108" s="8"/>
      <c r="Q108" s="8"/>
      <c r="R108" s="8"/>
      <c r="S108" s="8"/>
      <c r="T108" s="8"/>
      <c r="U108" s="8"/>
    </row>
    <row r="109" spans="1:29" ht="15.6" x14ac:dyDescent="0.3">
      <c r="B109" s="225" t="s">
        <v>637</v>
      </c>
      <c r="C109" s="226"/>
      <c r="D109" s="226"/>
      <c r="E109" s="227"/>
      <c r="F109" s="226" t="s">
        <v>159</v>
      </c>
      <c r="G109" s="228"/>
      <c r="H109" s="228" t="s">
        <v>158</v>
      </c>
      <c r="I109" s="226"/>
      <c r="J109" s="226" t="s">
        <v>324</v>
      </c>
      <c r="K109" s="229"/>
      <c r="L109" s="229"/>
      <c r="M109" s="229"/>
    </row>
    <row r="110" spans="1:29" ht="16.2" thickBot="1" x14ac:dyDescent="0.35">
      <c r="B110" s="225"/>
      <c r="C110" s="226"/>
      <c r="D110" s="226"/>
      <c r="E110" s="227"/>
      <c r="F110" s="226"/>
      <c r="G110" s="228"/>
      <c r="H110" s="228"/>
      <c r="I110" s="226"/>
      <c r="J110" s="226"/>
      <c r="K110" s="229"/>
      <c r="L110" s="229"/>
      <c r="M110" s="229"/>
    </row>
    <row r="111" spans="1:29" ht="13.8" thickBot="1" x14ac:dyDescent="0.3">
      <c r="B111" s="226"/>
      <c r="C111" s="226" t="s">
        <v>296</v>
      </c>
      <c r="D111" s="229"/>
      <c r="E111" s="230"/>
      <c r="F111" s="96"/>
      <c r="G111" s="231" t="s">
        <v>18</v>
      </c>
      <c r="H111" s="96"/>
      <c r="I111" s="232" t="s">
        <v>10</v>
      </c>
      <c r="J111" s="229">
        <f>H111*F111</f>
        <v>0</v>
      </c>
      <c r="K111" s="232" t="s">
        <v>14</v>
      </c>
      <c r="L111" s="229"/>
      <c r="M111" s="229"/>
    </row>
    <row r="112" spans="1:29" ht="13.8" thickBot="1" x14ac:dyDescent="0.3">
      <c r="B112" s="226"/>
      <c r="C112" s="226" t="s">
        <v>450</v>
      </c>
      <c r="D112" s="232">
        <f>F134/2</f>
        <v>4.5</v>
      </c>
      <c r="E112" s="226" t="s">
        <v>9</v>
      </c>
      <c r="F112" s="96">
        <f>+D112*8</f>
        <v>36</v>
      </c>
      <c r="G112" s="228" t="s">
        <v>20</v>
      </c>
      <c r="H112" s="96">
        <v>0.83</v>
      </c>
      <c r="I112" s="232" t="s">
        <v>5</v>
      </c>
      <c r="J112" s="229">
        <f>H112*F112</f>
        <v>29.88</v>
      </c>
      <c r="K112" s="232" t="s">
        <v>14</v>
      </c>
      <c r="L112" s="229"/>
      <c r="M112" s="229"/>
    </row>
    <row r="113" spans="1:29" ht="13.8" thickBot="1" x14ac:dyDescent="0.3">
      <c r="B113" s="226"/>
      <c r="C113" s="226" t="s">
        <v>298</v>
      </c>
      <c r="D113" s="232">
        <f>D112</f>
        <v>4.5</v>
      </c>
      <c r="E113" s="226" t="s">
        <v>9</v>
      </c>
      <c r="F113" s="96">
        <v>11.88</v>
      </c>
      <c r="G113" s="228" t="s">
        <v>21</v>
      </c>
      <c r="H113" s="96">
        <v>4</v>
      </c>
      <c r="I113" s="232" t="s">
        <v>6</v>
      </c>
      <c r="J113" s="229">
        <f t="shared" ref="J113:J117" si="12">H113*F113</f>
        <v>47.52</v>
      </c>
      <c r="K113" s="232" t="s">
        <v>14</v>
      </c>
      <c r="L113" s="229"/>
      <c r="M113" s="229"/>
    </row>
    <row r="114" spans="1:29" ht="13.8" thickBot="1" x14ac:dyDescent="0.3">
      <c r="B114" s="226"/>
      <c r="C114" s="226" t="s">
        <v>19</v>
      </c>
      <c r="D114" s="229"/>
      <c r="E114" s="232"/>
      <c r="F114" s="96"/>
      <c r="G114" s="228" t="s">
        <v>20</v>
      </c>
      <c r="H114" s="96"/>
      <c r="I114" s="232" t="s">
        <v>5</v>
      </c>
      <c r="J114" s="229">
        <f t="shared" si="12"/>
        <v>0</v>
      </c>
      <c r="K114" s="232" t="s">
        <v>14</v>
      </c>
      <c r="L114" s="229"/>
      <c r="M114" s="229"/>
    </row>
    <row r="115" spans="1:29" ht="13.8" thickBot="1" x14ac:dyDescent="0.3">
      <c r="B115" s="226"/>
      <c r="C115" s="226" t="s">
        <v>300</v>
      </c>
      <c r="D115" s="229"/>
      <c r="E115" s="232"/>
      <c r="F115" s="96"/>
      <c r="G115" s="228" t="s">
        <v>20</v>
      </c>
      <c r="H115" s="96"/>
      <c r="I115" s="232" t="s">
        <v>5</v>
      </c>
      <c r="J115" s="229">
        <f t="shared" si="12"/>
        <v>0</v>
      </c>
      <c r="K115" s="232" t="s">
        <v>14</v>
      </c>
      <c r="L115" s="229"/>
      <c r="M115" s="229"/>
    </row>
    <row r="116" spans="1:29" ht="13.8" thickBot="1" x14ac:dyDescent="0.3">
      <c r="B116" s="226"/>
      <c r="C116" s="226" t="s">
        <v>300</v>
      </c>
      <c r="D116" s="229"/>
      <c r="E116" s="232"/>
      <c r="F116" s="96"/>
      <c r="G116" s="228"/>
      <c r="H116" s="96"/>
      <c r="I116" s="232"/>
      <c r="J116" s="229">
        <f t="shared" si="12"/>
        <v>0</v>
      </c>
      <c r="K116" s="232" t="s">
        <v>14</v>
      </c>
      <c r="L116" s="229"/>
      <c r="M116" s="229"/>
      <c r="AB116" s="8"/>
      <c r="AC116" s="8"/>
    </row>
    <row r="117" spans="1:29" ht="13.8" thickBot="1" x14ac:dyDescent="0.3">
      <c r="B117" s="229"/>
      <c r="C117" s="226" t="s">
        <v>300</v>
      </c>
      <c r="D117" s="229"/>
      <c r="E117" s="229"/>
      <c r="F117" s="96"/>
      <c r="G117" s="229"/>
      <c r="H117" s="96"/>
      <c r="I117" s="229"/>
      <c r="J117" s="229">
        <f t="shared" si="12"/>
        <v>0</v>
      </c>
      <c r="K117" s="232" t="s">
        <v>14</v>
      </c>
      <c r="L117" s="229"/>
      <c r="M117" s="229"/>
    </row>
    <row r="118" spans="1:29" s="8" customFormat="1" x14ac:dyDescent="0.25">
      <c r="A118" s="245"/>
      <c r="B118" s="260"/>
      <c r="C118" s="260" t="s">
        <v>196</v>
      </c>
      <c r="D118" s="260"/>
      <c r="E118" s="260"/>
      <c r="F118" s="261"/>
      <c r="G118" s="260"/>
      <c r="H118" s="261"/>
      <c r="I118" s="260"/>
      <c r="J118" s="260">
        <f>SUM(J111:J117)</f>
        <v>77.400000000000006</v>
      </c>
      <c r="K118" s="262" t="s">
        <v>14</v>
      </c>
      <c r="L118" s="260"/>
      <c r="M118" s="260"/>
      <c r="AB118"/>
      <c r="AC118"/>
    </row>
    <row r="119" spans="1:29" x14ac:dyDescent="0.25">
      <c r="B119" s="229"/>
      <c r="C119" s="229"/>
      <c r="D119" s="229"/>
      <c r="E119" s="229"/>
      <c r="F119" s="229"/>
      <c r="G119" s="229"/>
      <c r="H119" s="229"/>
      <c r="I119" s="229"/>
      <c r="J119" s="229"/>
      <c r="K119" s="229"/>
      <c r="L119" s="229"/>
      <c r="M119" s="229"/>
    </row>
    <row r="121" spans="1:29" ht="15.6" x14ac:dyDescent="0.3">
      <c r="B121" s="112" t="s">
        <v>634</v>
      </c>
      <c r="C121" s="101"/>
      <c r="D121" s="101"/>
      <c r="E121" s="101"/>
      <c r="F121" s="101"/>
      <c r="G121" s="101"/>
      <c r="H121" s="101"/>
      <c r="I121" s="101"/>
      <c r="J121" s="101"/>
      <c r="K121" s="101"/>
      <c r="L121" s="101"/>
      <c r="M121" s="101"/>
    </row>
    <row r="122" spans="1:29" ht="15.6" x14ac:dyDescent="0.3">
      <c r="B122" s="112"/>
      <c r="C122" s="101"/>
      <c r="D122" s="101"/>
      <c r="E122" s="101"/>
      <c r="F122" s="101"/>
      <c r="G122" s="101"/>
      <c r="H122" s="101"/>
      <c r="I122" s="101"/>
      <c r="J122" s="101"/>
      <c r="K122" s="101"/>
      <c r="L122" s="101"/>
      <c r="M122" s="101"/>
      <c r="AB122" s="8"/>
      <c r="AC122" s="8"/>
    </row>
    <row r="123" spans="1:29" ht="15" customHeight="1" x14ac:dyDescent="0.25">
      <c r="B123" s="961" t="s">
        <v>302</v>
      </c>
      <c r="C123" s="961"/>
      <c r="D123" s="961"/>
      <c r="E123" s="961"/>
      <c r="F123" s="961"/>
      <c r="G123" s="961"/>
      <c r="H123" s="961"/>
      <c r="I123" s="961"/>
      <c r="J123" s="961"/>
      <c r="K123" s="961"/>
      <c r="L123" s="961"/>
      <c r="M123" s="961"/>
    </row>
    <row r="124" spans="1:29" s="8" customFormat="1" ht="15.6" x14ac:dyDescent="0.3">
      <c r="A124" s="245"/>
      <c r="B124" s="112"/>
      <c r="C124" s="101"/>
      <c r="D124" s="101"/>
      <c r="E124" s="126"/>
      <c r="F124" s="126"/>
      <c r="G124" s="126"/>
      <c r="H124" s="125"/>
      <c r="I124" s="125"/>
      <c r="J124" s="126"/>
      <c r="K124" s="126"/>
      <c r="L124" s="125"/>
      <c r="M124" s="125"/>
      <c r="N124"/>
      <c r="O124"/>
      <c r="P124"/>
      <c r="Q124"/>
      <c r="R124"/>
      <c r="S124"/>
      <c r="T124"/>
      <c r="U124"/>
      <c r="AB124"/>
      <c r="AC124"/>
    </row>
    <row r="125" spans="1:29" ht="15.6" x14ac:dyDescent="0.3">
      <c r="B125" s="112"/>
      <c r="C125" s="101"/>
      <c r="D125" s="101"/>
      <c r="E125" s="962" t="s">
        <v>303</v>
      </c>
      <c r="F125" s="962"/>
      <c r="G125" s="962"/>
      <c r="H125" s="963" t="s">
        <v>158</v>
      </c>
      <c r="I125" s="963"/>
      <c r="J125" s="963" t="s">
        <v>304</v>
      </c>
      <c r="K125" s="963"/>
      <c r="L125" s="963" t="s">
        <v>158</v>
      </c>
      <c r="M125" s="963"/>
    </row>
    <row r="126" spans="1:29" ht="33" customHeight="1" thickBot="1" x14ac:dyDescent="0.3">
      <c r="B126" s="100"/>
      <c r="C126" s="101"/>
      <c r="D126" s="101"/>
      <c r="E126" s="101"/>
      <c r="F126" s="101"/>
      <c r="G126" s="101"/>
      <c r="H126" s="101"/>
      <c r="I126" s="101"/>
      <c r="J126" s="101"/>
      <c r="K126" s="101"/>
      <c r="L126" s="101"/>
      <c r="M126" s="101"/>
      <c r="N126" s="8"/>
      <c r="O126" s="8"/>
      <c r="P126" s="8"/>
      <c r="Q126" s="8"/>
      <c r="R126" s="8"/>
      <c r="S126" s="8"/>
      <c r="T126" s="8"/>
      <c r="U126" s="8"/>
    </row>
    <row r="127" spans="1:29" ht="13.8" thickBot="1" x14ac:dyDescent="0.3">
      <c r="B127" s="101"/>
      <c r="C127" s="102" t="s">
        <v>307</v>
      </c>
      <c r="D127" s="101"/>
      <c r="E127" s="101"/>
      <c r="F127" s="115">
        <v>2</v>
      </c>
      <c r="G127" s="104" t="s">
        <v>22</v>
      </c>
      <c r="H127" s="117">
        <v>14.5</v>
      </c>
      <c r="I127" s="104" t="s">
        <v>11</v>
      </c>
      <c r="J127" s="116"/>
      <c r="K127" s="104" t="s">
        <v>22</v>
      </c>
      <c r="L127" s="117">
        <v>14.5</v>
      </c>
      <c r="M127" s="104" t="s">
        <v>11</v>
      </c>
    </row>
    <row r="128" spans="1:29" ht="13.8" thickBot="1" x14ac:dyDescent="0.3">
      <c r="B128" s="101"/>
      <c r="C128" s="102" t="s">
        <v>635</v>
      </c>
      <c r="D128" s="101"/>
      <c r="E128" s="101"/>
      <c r="F128" s="115">
        <v>3</v>
      </c>
      <c r="G128" s="104" t="s">
        <v>22</v>
      </c>
      <c r="H128" s="114">
        <f t="shared" ref="H128:H133" si="13">$H$127</f>
        <v>14.5</v>
      </c>
      <c r="I128" s="104" t="s">
        <v>11</v>
      </c>
      <c r="J128" s="116"/>
      <c r="K128" s="104" t="s">
        <v>22</v>
      </c>
      <c r="L128" s="114">
        <f t="shared" ref="L128:L133" si="14">$L$127</f>
        <v>14.5</v>
      </c>
      <c r="M128" s="104" t="s">
        <v>11</v>
      </c>
    </row>
    <row r="129" spans="2:21" ht="13.8" thickBot="1" x14ac:dyDescent="0.3">
      <c r="B129" s="101"/>
      <c r="C129" s="102" t="s">
        <v>311</v>
      </c>
      <c r="D129" s="101"/>
      <c r="E129" s="101"/>
      <c r="F129" s="115">
        <v>2</v>
      </c>
      <c r="G129" s="104" t="s">
        <v>22</v>
      </c>
      <c r="H129" s="114">
        <f t="shared" si="13"/>
        <v>14.5</v>
      </c>
      <c r="I129" s="104" t="s">
        <v>11</v>
      </c>
      <c r="J129" s="116"/>
      <c r="K129" s="104" t="s">
        <v>22</v>
      </c>
      <c r="L129" s="114">
        <f t="shared" si="14"/>
        <v>14.5</v>
      </c>
      <c r="M129" s="104" t="s">
        <v>11</v>
      </c>
    </row>
    <row r="130" spans="2:21" ht="13.8" thickBot="1" x14ac:dyDescent="0.3">
      <c r="B130" s="101"/>
      <c r="C130" s="102" t="s">
        <v>636</v>
      </c>
      <c r="D130" s="101"/>
      <c r="E130" s="101"/>
      <c r="F130" s="115">
        <v>2</v>
      </c>
      <c r="G130" s="104" t="s">
        <v>22</v>
      </c>
      <c r="H130" s="114">
        <f t="shared" si="13"/>
        <v>14.5</v>
      </c>
      <c r="I130" s="104" t="s">
        <v>11</v>
      </c>
      <c r="J130" s="116"/>
      <c r="K130" s="104" t="s">
        <v>22</v>
      </c>
      <c r="L130" s="114">
        <f t="shared" si="14"/>
        <v>14.5</v>
      </c>
      <c r="M130" s="104" t="s">
        <v>11</v>
      </c>
    </row>
    <row r="131" spans="2:21" ht="13.8" thickBot="1" x14ac:dyDescent="0.3">
      <c r="B131" s="101"/>
      <c r="C131" s="102" t="s">
        <v>431</v>
      </c>
      <c r="D131" s="101"/>
      <c r="E131" s="101"/>
      <c r="F131" s="116"/>
      <c r="G131" s="104" t="s">
        <v>22</v>
      </c>
      <c r="H131" s="114">
        <f t="shared" si="13"/>
        <v>14.5</v>
      </c>
      <c r="I131" s="104" t="s">
        <v>11</v>
      </c>
      <c r="J131" s="97"/>
      <c r="K131" s="104" t="s">
        <v>22</v>
      </c>
      <c r="L131" s="114">
        <f t="shared" si="14"/>
        <v>14.5</v>
      </c>
      <c r="M131" s="104" t="s">
        <v>11</v>
      </c>
    </row>
    <row r="132" spans="2:21" ht="13.8" thickBot="1" x14ac:dyDescent="0.3">
      <c r="B132" s="101"/>
      <c r="C132" s="102" t="s">
        <v>431</v>
      </c>
      <c r="D132" s="101"/>
      <c r="E132" s="101"/>
      <c r="F132" s="116"/>
      <c r="G132" s="104" t="s">
        <v>22</v>
      </c>
      <c r="H132" s="114">
        <f t="shared" si="13"/>
        <v>14.5</v>
      </c>
      <c r="I132" s="104" t="s">
        <v>11</v>
      </c>
      <c r="J132" s="97"/>
      <c r="K132" s="104" t="s">
        <v>22</v>
      </c>
      <c r="L132" s="114">
        <f t="shared" si="14"/>
        <v>14.5</v>
      </c>
      <c r="M132" s="104" t="s">
        <v>11</v>
      </c>
    </row>
    <row r="133" spans="2:21" ht="13.8" thickBot="1" x14ac:dyDescent="0.3">
      <c r="B133" s="101"/>
      <c r="C133" s="102" t="s">
        <v>431</v>
      </c>
      <c r="D133" s="103"/>
      <c r="E133" s="103"/>
      <c r="F133" s="97"/>
      <c r="G133" s="104" t="s">
        <v>22</v>
      </c>
      <c r="H133" s="114">
        <f t="shared" si="13"/>
        <v>14.5</v>
      </c>
      <c r="I133" s="104" t="s">
        <v>11</v>
      </c>
      <c r="J133" s="97"/>
      <c r="K133" s="104" t="s">
        <v>22</v>
      </c>
      <c r="L133" s="114">
        <f t="shared" si="14"/>
        <v>14.5</v>
      </c>
      <c r="M133" s="104" t="s">
        <v>11</v>
      </c>
    </row>
    <row r="134" spans="2:21" x14ac:dyDescent="0.25">
      <c r="B134" s="264"/>
      <c r="C134" s="265" t="s">
        <v>196</v>
      </c>
      <c r="D134" s="266"/>
      <c r="E134" s="266"/>
      <c r="F134" s="267">
        <f>SUM(F127:F133)</f>
        <v>9</v>
      </c>
      <c r="G134" s="264" t="s">
        <v>22</v>
      </c>
      <c r="H134" s="268">
        <f>F134*H127</f>
        <v>130.5</v>
      </c>
      <c r="I134" s="264" t="s">
        <v>14</v>
      </c>
      <c r="J134" s="269">
        <f>SUM(J127:J133)</f>
        <v>0</v>
      </c>
      <c r="K134" s="264" t="s">
        <v>22</v>
      </c>
      <c r="L134" s="268">
        <f>J134*L127</f>
        <v>0</v>
      </c>
      <c r="M134" s="264" t="s">
        <v>14</v>
      </c>
    </row>
    <row r="136" spans="2:21" ht="40.049999999999997" customHeight="1" x14ac:dyDescent="0.25">
      <c r="N136" s="8"/>
      <c r="O136" s="8"/>
      <c r="P136" s="8"/>
      <c r="Q136" s="8"/>
      <c r="R136" s="8"/>
      <c r="S136" s="8"/>
      <c r="T136" s="8"/>
      <c r="U136" s="8"/>
    </row>
    <row r="139" spans="2:21" ht="37.950000000000003" customHeight="1" x14ac:dyDescent="0.25"/>
    <row r="149" spans="1:29" x14ac:dyDescent="0.25">
      <c r="AB149" s="8"/>
      <c r="AC149" s="8"/>
    </row>
    <row r="151" spans="1:29" s="8" customFormat="1" x14ac:dyDescent="0.25">
      <c r="A151" s="245"/>
      <c r="B151"/>
      <c r="C151"/>
      <c r="D151"/>
      <c r="E151"/>
      <c r="F151"/>
      <c r="G151"/>
      <c r="H151"/>
      <c r="I151"/>
      <c r="J151"/>
      <c r="K151"/>
      <c r="L151"/>
      <c r="M151"/>
      <c r="N151"/>
      <c r="O151"/>
      <c r="P151"/>
      <c r="Q151"/>
      <c r="R151"/>
      <c r="S151"/>
      <c r="T151"/>
      <c r="U151"/>
      <c r="AB151"/>
      <c r="AC151"/>
    </row>
    <row r="153" spans="1:29" x14ac:dyDescent="0.25">
      <c r="N153" s="8"/>
      <c r="O153" s="8"/>
      <c r="P153" s="8"/>
      <c r="Q153" s="8"/>
      <c r="R153" s="8"/>
      <c r="S153" s="8"/>
      <c r="T153" s="8"/>
      <c r="U153" s="8"/>
    </row>
  </sheetData>
  <mergeCells count="37">
    <mergeCell ref="F100:G100"/>
    <mergeCell ref="H100:I100"/>
    <mergeCell ref="J100:K100"/>
    <mergeCell ref="B123:M123"/>
    <mergeCell ref="E125:G125"/>
    <mergeCell ref="H125:I125"/>
    <mergeCell ref="J125:K125"/>
    <mergeCell ref="L125:M125"/>
    <mergeCell ref="F75:G75"/>
    <mergeCell ref="H75:I75"/>
    <mergeCell ref="J75:K75"/>
    <mergeCell ref="F82:G82"/>
    <mergeCell ref="H82:I82"/>
    <mergeCell ref="J82:K82"/>
    <mergeCell ref="B60:D60"/>
    <mergeCell ref="B64:D64"/>
    <mergeCell ref="B67:E67"/>
    <mergeCell ref="L67:M67"/>
    <mergeCell ref="F69:G69"/>
    <mergeCell ref="H69:I69"/>
    <mergeCell ref="J69:K69"/>
    <mergeCell ref="B62:D62"/>
    <mergeCell ref="B2:C2"/>
    <mergeCell ref="B4:L4"/>
    <mergeCell ref="B11:D11"/>
    <mergeCell ref="B55:D55"/>
    <mergeCell ref="B24:E24"/>
    <mergeCell ref="B25:E25"/>
    <mergeCell ref="B26:D26"/>
    <mergeCell ref="B29:C29"/>
    <mergeCell ref="C32:D32"/>
    <mergeCell ref="B36:D36"/>
    <mergeCell ref="C39:D39"/>
    <mergeCell ref="B43:D43"/>
    <mergeCell ref="C46:D46"/>
    <mergeCell ref="B50:C50"/>
    <mergeCell ref="C53:D53"/>
  </mergeCells>
  <hyperlinks>
    <hyperlink ref="B24:E24" location="'Gårdens info'!B140" display="ALLMÄNNA KOSTNADER, havrens andel" xr:uid="{6D944F7D-CCAB-5941-A308-7AFAC12F9788}"/>
    <hyperlink ref="L67" location="'Avomaan mansikka'!B2" display="PALAA SIVUN YLÄLAITAAN" xr:uid="{BA60C0D9-2ADB-494B-A963-76890E4D04AC}"/>
    <hyperlink ref="L67:M67" location="Havre!A1" display="TILL SIDANS BÖRJAN" xr:uid="{93EA5CDD-BD2E-5043-BDB2-8DA8EF4954E9}"/>
    <hyperlink ref="B2" location="Tilakokonaisuus!A1" display="PALAA ETUSIVULLE" xr:uid="{FE0DEEBE-0437-425C-BB29-F9C594E509E3}"/>
    <hyperlink ref="B2:C2" location="'Gårdens info'!A1" display="TILL FRAMSIDAN" xr:uid="{5C7B9559-857B-4097-80DD-CB3653628F27}"/>
    <hyperlink ref="B29:C29" location="Ägendom!B15" display="BYGGNADER" xr:uid="{B26A0EAC-17E0-420B-B483-281DADB52749}"/>
    <hyperlink ref="B36:D36" location="Ägendom!B28" display="MASINER OCH UTRUSTNING" xr:uid="{F3E2D634-C4B6-48E2-ADB2-7B4CBAC3D24F}"/>
    <hyperlink ref="B43:D43" location="Ägendom!B51" display="LÅNGVARIGA PRODUKTIONSMEDEL" xr:uid="{DDD82667-32A3-46DF-A5E6-2883A543C44B}"/>
    <hyperlink ref="B50:C50" location="Ägendom!B70" display="TÄCKDIKEN" xr:uid="{2B7FFD86-8FB2-45DA-9057-C83E4EC3F959}"/>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6327C-0BBA-484D-BFB6-B4BBC6D93934}">
  <sheetPr>
    <tabColor theme="2" tint="-0.249977111117893"/>
  </sheetPr>
  <dimension ref="A1:AC153"/>
  <sheetViews>
    <sheetView workbookViewId="0">
      <selection activeCell="B2" sqref="B2:C2"/>
    </sheetView>
  </sheetViews>
  <sheetFormatPr defaultColWidth="11.44140625" defaultRowHeight="13.2" x14ac:dyDescent="0.25"/>
  <cols>
    <col min="1" max="1" width="5.33203125" style="670" customWidth="1"/>
    <col min="3" max="3" width="16.77734375" customWidth="1"/>
    <col min="4" max="4" width="22.6640625" customWidth="1"/>
    <col min="5" max="5" width="12.109375" bestFit="1" customWidth="1"/>
    <col min="6" max="6" width="20.6640625" bestFit="1" customWidth="1"/>
    <col min="7" max="7" width="6.33203125" customWidth="1"/>
    <col min="8" max="8" width="17.77734375" customWidth="1"/>
    <col min="9" max="9" width="6" customWidth="1"/>
    <col min="10" max="10" width="15.109375" customWidth="1"/>
    <col min="11" max="11" width="9.6640625" customWidth="1"/>
    <col min="12" max="12" width="20" customWidth="1"/>
    <col min="13" max="13" width="12.109375" customWidth="1"/>
    <col min="14" max="14" width="9.44140625" customWidth="1"/>
    <col min="15" max="15" width="6.77734375" customWidth="1"/>
    <col min="16" max="16" width="4.44140625" customWidth="1"/>
    <col min="17" max="17" width="15" customWidth="1"/>
    <col min="18" max="18" width="5.109375" customWidth="1"/>
    <col min="19" max="19" width="18.33203125" bestFit="1" customWidth="1"/>
    <col min="28" max="28" width="11.6640625" bestFit="1" customWidth="1"/>
    <col min="29" max="29" width="11" bestFit="1" customWidth="1"/>
  </cols>
  <sheetData>
    <row r="1" spans="1:13" s="670" customFormat="1" ht="22.8" x14ac:dyDescent="0.4">
      <c r="B1" s="677" t="s">
        <v>607</v>
      </c>
    </row>
    <row r="2" spans="1:13" ht="27" customHeight="1" x14ac:dyDescent="0.3">
      <c r="B2" s="976" t="s">
        <v>337</v>
      </c>
      <c r="C2" s="976"/>
      <c r="F2" s="91"/>
      <c r="G2" s="91"/>
      <c r="H2" s="91"/>
    </row>
    <row r="3" spans="1:13" ht="27" customHeight="1" x14ac:dyDescent="0.3">
      <c r="B3" s="479"/>
      <c r="C3" s="479"/>
    </row>
    <row r="4" spans="1:13" ht="55.05" customHeight="1" x14ac:dyDescent="0.3">
      <c r="B4" s="942" t="s">
        <v>236</v>
      </c>
      <c r="C4" s="942"/>
      <c r="D4" s="942"/>
      <c r="E4" s="942"/>
      <c r="F4" s="942"/>
      <c r="G4" s="942"/>
      <c r="H4" s="942"/>
      <c r="I4" s="942"/>
      <c r="J4" s="942"/>
      <c r="K4" s="942"/>
      <c r="L4" s="942"/>
    </row>
    <row r="5" spans="1:13" ht="27" customHeight="1" thickBot="1" x14ac:dyDescent="0.35">
      <c r="B5" s="479"/>
      <c r="C5" s="479"/>
    </row>
    <row r="6" spans="1:13" ht="27" customHeight="1" x14ac:dyDescent="0.4">
      <c r="B6" s="318" t="s">
        <v>626</v>
      </c>
      <c r="C6" s="282"/>
      <c r="D6" s="283"/>
      <c r="E6" s="283"/>
      <c r="F6" s="283"/>
      <c r="G6" s="283"/>
      <c r="H6" s="283"/>
      <c r="I6" s="283"/>
      <c r="J6" s="283"/>
      <c r="K6" s="283"/>
      <c r="L6" s="283"/>
      <c r="M6" s="284"/>
    </row>
    <row r="7" spans="1:13" ht="27" customHeight="1" x14ac:dyDescent="0.4">
      <c r="B7" s="285"/>
      <c r="C7" s="286"/>
      <c r="D7" s="148"/>
      <c r="E7" s="148"/>
      <c r="F7" s="148"/>
      <c r="G7" s="148"/>
      <c r="H7" s="148"/>
      <c r="I7" s="148"/>
      <c r="J7" s="148"/>
      <c r="K7" s="148"/>
      <c r="L7" s="148"/>
      <c r="M7" s="287"/>
    </row>
    <row r="8" spans="1:13" ht="21" x14ac:dyDescent="0.4">
      <c r="B8" s="319" t="s">
        <v>238</v>
      </c>
      <c r="C8" s="286"/>
      <c r="D8" s="148"/>
      <c r="E8" s="151"/>
      <c r="F8" s="151"/>
      <c r="G8" s="151"/>
      <c r="H8" s="151"/>
      <c r="I8" s="148"/>
      <c r="J8" s="148"/>
      <c r="K8" s="148"/>
      <c r="L8" s="148"/>
      <c r="M8" s="287"/>
    </row>
    <row r="9" spans="1:13" ht="21" customHeight="1" x14ac:dyDescent="0.25">
      <c r="B9" s="288"/>
      <c r="C9" s="289" t="s">
        <v>201</v>
      </c>
      <c r="D9" s="151"/>
      <c r="E9" s="151"/>
      <c r="F9" s="290">
        <f>H9*'Gårdens info'!G32</f>
        <v>0</v>
      </c>
      <c r="G9" s="151" t="s">
        <v>14</v>
      </c>
      <c r="H9" s="362">
        <v>0.26</v>
      </c>
      <c r="I9" s="151" t="s">
        <v>6</v>
      </c>
      <c r="J9" s="290">
        <f>F9*'Gårdens info'!D31</f>
        <v>0</v>
      </c>
      <c r="K9" s="151" t="s">
        <v>648</v>
      </c>
      <c r="L9" s="151"/>
      <c r="M9" s="287"/>
    </row>
    <row r="10" spans="1:13" ht="15" x14ac:dyDescent="0.25">
      <c r="B10" s="288"/>
      <c r="C10" s="151" t="s">
        <v>224</v>
      </c>
      <c r="D10" s="151"/>
      <c r="E10" s="151"/>
      <c r="F10" s="290">
        <f>IF('Gårdens info'!D32&gt;0,Stöd!J6/'Gårdens info'!D37*Stöd!L6+Stöd!J7/'Gårdens info'!D37*Stöd!L7+Stöd!J8/'Gårdens info'!D37*Stöd!L8+Stöd!J12/'Gårdens info'!D37*Stöd!L12+Stöd!J13/'Gårdens info'!D37*Stöd!L13+Stöd!J15/'Gårdens info'!D37*Stöd!L15+Stöd!J16/'Gårdens info'!D37*Stöd!L16+Stöd!J18/'Gårdens info'!D37*Stöd!L18+Stöd!J19/'Gårdens info'!D37*Stöd!L19+Stöd!J20/'Gårdens info'!D37*Stöd!L20+Stöd!J21/'Gårdens info'!D37*Stöd!L21,0)</f>
        <v>0</v>
      </c>
      <c r="G10" s="151" t="s">
        <v>14</v>
      </c>
      <c r="H10" s="362">
        <f>IF('Gårdens info'!G32&gt;0,F10/'Gårdens info'!G32,0)</f>
        <v>0</v>
      </c>
      <c r="I10" s="151" t="s">
        <v>6</v>
      </c>
      <c r="J10" s="290">
        <f>F10*'Gårdens info'!D31</f>
        <v>0</v>
      </c>
      <c r="K10" s="151" t="s">
        <v>648</v>
      </c>
      <c r="L10" s="151"/>
      <c r="M10" s="287"/>
    </row>
    <row r="11" spans="1:13" s="8" customFormat="1" ht="21" customHeight="1" x14ac:dyDescent="0.4">
      <c r="A11" s="671"/>
      <c r="B11" s="932" t="s">
        <v>240</v>
      </c>
      <c r="C11" s="933"/>
      <c r="D11" s="933"/>
      <c r="E11" s="324"/>
      <c r="F11" s="328">
        <f>F9+F10</f>
        <v>0</v>
      </c>
      <c r="G11" s="329" t="s">
        <v>14</v>
      </c>
      <c r="H11" s="330">
        <f>H9+H10</f>
        <v>0.26</v>
      </c>
      <c r="I11" s="329" t="s">
        <v>6</v>
      </c>
      <c r="J11" s="331">
        <f>J9+J10</f>
        <v>0</v>
      </c>
      <c r="K11" s="329" t="s">
        <v>648</v>
      </c>
      <c r="L11" s="329"/>
      <c r="M11" s="321"/>
    </row>
    <row r="12" spans="1:13" s="8" customFormat="1" ht="21" x14ac:dyDescent="0.4">
      <c r="A12" s="671"/>
      <c r="B12" s="844"/>
      <c r="C12" s="845"/>
      <c r="D12" s="845"/>
      <c r="E12" s="324"/>
      <c r="F12" s="328"/>
      <c r="G12" s="329"/>
      <c r="H12" s="330"/>
      <c r="I12" s="329"/>
      <c r="J12" s="331"/>
      <c r="K12" s="329"/>
      <c r="L12" s="329"/>
      <c r="M12" s="321"/>
    </row>
    <row r="13" spans="1:13" ht="22.05" customHeight="1" x14ac:dyDescent="0.3">
      <c r="B13" s="292"/>
      <c r="C13" s="286"/>
      <c r="D13" s="148"/>
      <c r="E13" s="148"/>
      <c r="F13" s="148"/>
      <c r="G13" s="148"/>
      <c r="H13" s="148"/>
      <c r="I13" s="148"/>
      <c r="J13" s="293"/>
      <c r="K13" s="148"/>
      <c r="L13" s="148"/>
      <c r="M13" s="287"/>
    </row>
    <row r="14" spans="1:13" ht="21" x14ac:dyDescent="0.4">
      <c r="B14" s="319" t="s">
        <v>613</v>
      </c>
      <c r="C14" s="286"/>
      <c r="D14" s="148"/>
      <c r="E14" s="148"/>
      <c r="F14" s="148"/>
      <c r="G14" s="148"/>
      <c r="H14" s="148"/>
      <c r="I14" s="148"/>
      <c r="J14" s="293"/>
      <c r="K14" s="148"/>
      <c r="L14" s="148"/>
      <c r="M14" s="287"/>
    </row>
    <row r="15" spans="1:13" s="77" customFormat="1" ht="16.95" customHeight="1" x14ac:dyDescent="0.3">
      <c r="A15" s="670"/>
      <c r="B15" s="602"/>
      <c r="C15" s="306"/>
      <c r="D15" s="310"/>
      <c r="E15" s="310"/>
      <c r="F15" s="311"/>
      <c r="G15" s="153"/>
      <c r="H15" s="310"/>
      <c r="I15" s="310"/>
      <c r="J15" s="310"/>
      <c r="K15" s="310"/>
      <c r="L15" s="310"/>
      <c r="M15" s="295"/>
    </row>
    <row r="16" spans="1:13" s="91" customFormat="1" ht="16.95" customHeight="1" x14ac:dyDescent="0.25">
      <c r="A16" s="670"/>
      <c r="B16" s="602"/>
      <c r="C16" s="289" t="s">
        <v>243</v>
      </c>
      <c r="D16" s="297"/>
      <c r="E16" s="297"/>
      <c r="F16" s="308">
        <f>IF('Gårdens info'!D32&gt;0,J71,0)</f>
        <v>0</v>
      </c>
      <c r="G16" s="151" t="s">
        <v>14</v>
      </c>
      <c r="H16" s="299">
        <f>IF('Gårdens info'!$G$32&gt;0,F16/'Gårdens info'!$G$32,0)</f>
        <v>0</v>
      </c>
      <c r="I16" s="151" t="s">
        <v>6</v>
      </c>
      <c r="J16" s="298">
        <f>F16*'Gårdens info'!$D$32</f>
        <v>0</v>
      </c>
      <c r="K16" s="151" t="s">
        <v>648</v>
      </c>
      <c r="L16" s="297"/>
      <c r="M16" s="300"/>
    </row>
    <row r="17" spans="1:29" s="91" customFormat="1" ht="15" x14ac:dyDescent="0.25">
      <c r="A17" s="672"/>
      <c r="B17" s="296"/>
      <c r="C17" s="289" t="s">
        <v>244</v>
      </c>
      <c r="D17" s="297"/>
      <c r="E17" s="297"/>
      <c r="F17" s="298">
        <f>IF('Gårdens info'!D32&gt;0,J79,0)</f>
        <v>0</v>
      </c>
      <c r="G17" s="151" t="s">
        <v>14</v>
      </c>
      <c r="H17" s="299">
        <f>IF('Gårdens info'!$G$32&gt;0,F17/'Gårdens info'!$G$32,0)</f>
        <v>0</v>
      </c>
      <c r="I17" s="151" t="s">
        <v>6</v>
      </c>
      <c r="J17" s="298">
        <f>F17*'Gårdens info'!$D$32</f>
        <v>0</v>
      </c>
      <c r="K17" s="151" t="s">
        <v>648</v>
      </c>
      <c r="L17" s="297"/>
      <c r="M17" s="300"/>
    </row>
    <row r="18" spans="1:29" s="91" customFormat="1" ht="15" x14ac:dyDescent="0.25">
      <c r="A18" s="672"/>
      <c r="B18" s="296"/>
      <c r="C18" s="289" t="s">
        <v>245</v>
      </c>
      <c r="D18" s="297"/>
      <c r="E18" s="297"/>
      <c r="F18" s="298">
        <f>IF('Gårdens info'!D32&gt;0,J97,0)</f>
        <v>0</v>
      </c>
      <c r="G18" s="151" t="s">
        <v>14</v>
      </c>
      <c r="H18" s="299">
        <f>IF('Gårdens info'!$G$32&gt;0,F18/'Gårdens info'!$G$32,0)</f>
        <v>0</v>
      </c>
      <c r="I18" s="151" t="s">
        <v>6</v>
      </c>
      <c r="J18" s="298">
        <f>F18*'Gårdens info'!$D$32</f>
        <v>0</v>
      </c>
      <c r="K18" s="151" t="s">
        <v>648</v>
      </c>
      <c r="L18" s="297"/>
      <c r="M18" s="300"/>
    </row>
    <row r="19" spans="1:29" s="91" customFormat="1" ht="15" x14ac:dyDescent="0.25">
      <c r="A19" s="672"/>
      <c r="B19" s="296"/>
      <c r="C19" s="289" t="s">
        <v>387</v>
      </c>
      <c r="D19" s="297"/>
      <c r="E19" s="297"/>
      <c r="F19" s="298">
        <f>IF('Gårdens info'!D32&gt;0,J106,0)</f>
        <v>0</v>
      </c>
      <c r="G19" s="151" t="s">
        <v>14</v>
      </c>
      <c r="H19" s="299">
        <f>IF('Gårdens info'!$G$32&gt;0,F19/'Gårdens info'!$G$32,0)</f>
        <v>0</v>
      </c>
      <c r="I19" s="151" t="s">
        <v>6</v>
      </c>
      <c r="J19" s="298">
        <f>F19*'Gårdens info'!$D$32</f>
        <v>0</v>
      </c>
      <c r="K19" s="151" t="s">
        <v>648</v>
      </c>
      <c r="L19" s="297"/>
      <c r="M19" s="300"/>
    </row>
    <row r="20" spans="1:29" s="91" customFormat="1" ht="15" x14ac:dyDescent="0.25">
      <c r="A20" s="672"/>
      <c r="B20" s="296"/>
      <c r="C20" s="289" t="s">
        <v>249</v>
      </c>
      <c r="D20" s="297"/>
      <c r="E20" s="297"/>
      <c r="F20" s="298">
        <f>IF('Gårdens info'!D32&gt;0,J118,0)</f>
        <v>0</v>
      </c>
      <c r="G20" s="151" t="s">
        <v>14</v>
      </c>
      <c r="H20" s="299">
        <f>IF('Gårdens info'!$G$32&gt;0,F20/'Gårdens info'!$G$32,0)</f>
        <v>0</v>
      </c>
      <c r="I20" s="151" t="s">
        <v>6</v>
      </c>
      <c r="J20" s="298">
        <f>F20*'Gårdens info'!$D$32</f>
        <v>0</v>
      </c>
      <c r="K20" s="151" t="s">
        <v>648</v>
      </c>
      <c r="L20" s="297"/>
      <c r="M20" s="300"/>
    </row>
    <row r="21" spans="1:29" s="91" customFormat="1" ht="15" x14ac:dyDescent="0.25">
      <c r="A21" s="672"/>
      <c r="B21" s="296"/>
      <c r="C21" s="289" t="s">
        <v>614</v>
      </c>
      <c r="D21" s="297"/>
      <c r="E21" s="297"/>
      <c r="F21" s="298">
        <f>IF('Gårdens info'!D32&gt;0,L134,0)</f>
        <v>0</v>
      </c>
      <c r="G21" s="151" t="s">
        <v>14</v>
      </c>
      <c r="H21" s="299">
        <f>IF('Gårdens info'!$G$32&gt;0,F21/'Gårdens info'!$G$32,0)</f>
        <v>0</v>
      </c>
      <c r="I21" s="151" t="s">
        <v>6</v>
      </c>
      <c r="J21" s="298">
        <f>F21*'Gårdens info'!$D$32</f>
        <v>0</v>
      </c>
      <c r="K21" s="151" t="s">
        <v>648</v>
      </c>
      <c r="L21" s="297"/>
      <c r="M21" s="300"/>
    </row>
    <row r="22" spans="1:29" ht="15.6" x14ac:dyDescent="0.3">
      <c r="B22" s="312"/>
      <c r="C22" s="301" t="s">
        <v>196</v>
      </c>
      <c r="D22" s="302"/>
      <c r="E22" s="302"/>
      <c r="F22" s="303">
        <f>SUM(F16:F21)</f>
        <v>0</v>
      </c>
      <c r="G22" s="304" t="s">
        <v>14</v>
      </c>
      <c r="H22" s="305">
        <f>SUM(H16:H21)</f>
        <v>0</v>
      </c>
      <c r="I22" s="304" t="s">
        <v>6</v>
      </c>
      <c r="J22" s="303">
        <f>SUM(J16:J21)</f>
        <v>0</v>
      </c>
      <c r="K22" s="304" t="s">
        <v>648</v>
      </c>
      <c r="L22" s="302"/>
      <c r="M22" s="313"/>
      <c r="N22" s="91"/>
      <c r="O22" s="91"/>
      <c r="P22" s="91"/>
      <c r="Q22" s="91"/>
      <c r="R22" s="91"/>
      <c r="S22" s="91"/>
      <c r="T22" s="91"/>
      <c r="U22" s="91"/>
    </row>
    <row r="23" spans="1:29" s="77" customFormat="1" ht="17.399999999999999" x14ac:dyDescent="0.3">
      <c r="A23" s="673"/>
      <c r="B23" s="292"/>
      <c r="C23" s="306"/>
      <c r="D23" s="307"/>
      <c r="E23" s="307"/>
      <c r="F23" s="308"/>
      <c r="G23" s="151"/>
      <c r="H23" s="307"/>
      <c r="I23" s="307"/>
      <c r="J23" s="307"/>
      <c r="K23" s="307"/>
      <c r="L23" s="307"/>
      <c r="M23" s="287"/>
      <c r="N23" s="91"/>
      <c r="O23" s="91"/>
      <c r="P23" s="91"/>
      <c r="R23" s="91"/>
      <c r="S23" s="91"/>
      <c r="T23" s="91"/>
      <c r="U23" s="91"/>
      <c r="AB23" s="77" t="s">
        <v>243</v>
      </c>
      <c r="AC23" s="881">
        <f>F16</f>
        <v>0</v>
      </c>
    </row>
    <row r="24" spans="1:29" s="91" customFormat="1" ht="17.399999999999999" customHeight="1" x14ac:dyDescent="0.3">
      <c r="A24" s="672"/>
      <c r="B24" s="947" t="s">
        <v>620</v>
      </c>
      <c r="C24" s="948"/>
      <c r="D24" s="948"/>
      <c r="E24" s="948"/>
      <c r="F24" s="325">
        <f>IF('Gårdens info'!D32&gt;0,J24/'Gårdens info'!D32,0)</f>
        <v>0</v>
      </c>
      <c r="G24" s="304" t="s">
        <v>14</v>
      </c>
      <c r="H24" s="326">
        <f>IF('Gårdens info'!G32&gt;0,F24/'Gårdens info'!G32,0)</f>
        <v>0</v>
      </c>
      <c r="I24" s="304" t="s">
        <v>6</v>
      </c>
      <c r="J24" s="320">
        <f>'Gårdens info'!G147/'Gårdens info'!D37*'Gårdens info'!D32</f>
        <v>0</v>
      </c>
      <c r="K24" s="304" t="s">
        <v>648</v>
      </c>
      <c r="L24" s="327"/>
      <c r="M24" s="321"/>
      <c r="N24"/>
      <c r="O24"/>
      <c r="P24"/>
      <c r="S24"/>
      <c r="T24"/>
      <c r="U24"/>
      <c r="AB24" s="91" t="str">
        <f>C17</f>
        <v>Gödsel och kalk</v>
      </c>
      <c r="AC24" s="881">
        <f t="shared" ref="AC24:AC28" si="0">F17</f>
        <v>0</v>
      </c>
    </row>
    <row r="25" spans="1:29" s="91" customFormat="1" ht="17.399999999999999" customHeight="1" x14ac:dyDescent="0.3">
      <c r="A25" s="672"/>
      <c r="B25" s="949" t="s">
        <v>621</v>
      </c>
      <c r="C25" s="950"/>
      <c r="D25" s="950"/>
      <c r="E25" s="950"/>
      <c r="F25" s="325">
        <f>'Gårdens info'!$G$42*'Gårdens info'!$D$42/'Gårdens info'!$D$37*'Gårdens info'!D32</f>
        <v>0</v>
      </c>
      <c r="G25" s="304" t="s">
        <v>14</v>
      </c>
      <c r="H25" s="326">
        <f>IF('Gårdens info'!G32&gt;0,F25/'Gårdens info'!G32,0)</f>
        <v>0</v>
      </c>
      <c r="I25" s="304" t="s">
        <v>6</v>
      </c>
      <c r="J25" s="320">
        <f>F25*'Gårdens info'!D32</f>
        <v>0</v>
      </c>
      <c r="K25" s="304" t="s">
        <v>648</v>
      </c>
      <c r="L25" s="327"/>
      <c r="M25" s="321"/>
      <c r="N25" s="77"/>
      <c r="O25" s="77"/>
      <c r="P25" s="77"/>
      <c r="S25" s="77"/>
      <c r="T25" s="77"/>
      <c r="U25" s="77"/>
      <c r="AB25" s="91" t="str">
        <f>C18</f>
        <v>IPM Växtskydd</v>
      </c>
      <c r="AC25" s="881">
        <f t="shared" si="0"/>
        <v>0</v>
      </c>
    </row>
    <row r="26" spans="1:29" s="91" customFormat="1" ht="21" customHeight="1" x14ac:dyDescent="0.4">
      <c r="A26" s="672"/>
      <c r="B26" s="932" t="s">
        <v>226</v>
      </c>
      <c r="C26" s="933"/>
      <c r="D26" s="933"/>
      <c r="E26" s="324"/>
      <c r="F26" s="328">
        <f>F22+F24+F25</f>
        <v>0</v>
      </c>
      <c r="G26" s="329" t="s">
        <v>14</v>
      </c>
      <c r="H26" s="330">
        <f>H22+H24+H25</f>
        <v>0</v>
      </c>
      <c r="I26" s="329" t="s">
        <v>6</v>
      </c>
      <c r="J26" s="331">
        <f>J22+J24+J25</f>
        <v>0</v>
      </c>
      <c r="K26" s="329" t="s">
        <v>648</v>
      </c>
      <c r="L26" s="329"/>
      <c r="M26" s="321"/>
      <c r="AB26" s="91" t="str">
        <f t="shared" ref="AB26:AB28" si="1">C19</f>
        <v>Maskinhyra och entreprenad</v>
      </c>
      <c r="AC26" s="881">
        <f t="shared" si="0"/>
        <v>0</v>
      </c>
    </row>
    <row r="27" spans="1:29" s="91" customFormat="1" ht="21" x14ac:dyDescent="0.4">
      <c r="A27" s="672"/>
      <c r="B27" s="844"/>
      <c r="C27" s="845"/>
      <c r="D27" s="845"/>
      <c r="E27" s="324"/>
      <c r="F27" s="328"/>
      <c r="G27" s="329"/>
      <c r="H27" s="330"/>
      <c r="I27" s="329"/>
      <c r="J27" s="331"/>
      <c r="K27" s="329"/>
      <c r="L27" s="329"/>
      <c r="M27" s="321"/>
      <c r="AB27" s="91" t="str">
        <f t="shared" si="1"/>
        <v>Energikostnader</v>
      </c>
      <c r="AC27" s="881">
        <f t="shared" si="0"/>
        <v>0</v>
      </c>
    </row>
    <row r="28" spans="1:29" s="91" customFormat="1" ht="21" x14ac:dyDescent="0.4">
      <c r="A28" s="672"/>
      <c r="B28" s="319" t="s">
        <v>622</v>
      </c>
      <c r="C28" s="286"/>
      <c r="D28" s="148"/>
      <c r="E28" s="148"/>
      <c r="F28" s="148"/>
      <c r="G28" s="148"/>
      <c r="H28" s="148"/>
      <c r="I28" s="148"/>
      <c r="J28" s="293"/>
      <c r="K28" s="148"/>
      <c r="L28" s="148"/>
      <c r="M28" s="287"/>
      <c r="AB28" s="91" t="str">
        <f t="shared" si="1"/>
        <v xml:space="preserve">Anställd arbetskraft </v>
      </c>
      <c r="AC28" s="881">
        <f t="shared" si="0"/>
        <v>0</v>
      </c>
    </row>
    <row r="29" spans="1:29" s="91" customFormat="1" ht="21" customHeight="1" x14ac:dyDescent="0.4">
      <c r="A29" s="672"/>
      <c r="B29" s="947" t="s">
        <v>149</v>
      </c>
      <c r="C29" s="948"/>
      <c r="D29" s="845"/>
      <c r="E29" s="324"/>
      <c r="F29" s="328"/>
      <c r="G29" s="329"/>
      <c r="H29" s="330"/>
      <c r="I29" s="329"/>
      <c r="J29" s="331"/>
      <c r="K29" s="329"/>
      <c r="L29" s="329"/>
      <c r="M29" s="321"/>
      <c r="AB29" s="882" t="s">
        <v>572</v>
      </c>
      <c r="AC29" s="882">
        <f>F24</f>
        <v>0</v>
      </c>
    </row>
    <row r="30" spans="1:29" s="91" customFormat="1" ht="21" x14ac:dyDescent="0.4">
      <c r="A30" s="672"/>
      <c r="B30" s="350"/>
      <c r="C30" s="846" t="s">
        <v>264</v>
      </c>
      <c r="D30" s="845"/>
      <c r="E30" s="324"/>
      <c r="F30" s="338">
        <f>IF('Gårdens info'!$D$32&gt;0,J30/'Gårdens info'!$D$32,0)</f>
        <v>0</v>
      </c>
      <c r="G30" s="151" t="s">
        <v>14</v>
      </c>
      <c r="H30" s="339">
        <f>IF('Gårdens info'!$G$32&gt;0,F30/'Gårdens info'!$G$32,0)</f>
        <v>0</v>
      </c>
      <c r="I30" s="151" t="s">
        <v>6</v>
      </c>
      <c r="J30" s="298">
        <f>Ägendom!AZ22</f>
        <v>0</v>
      </c>
      <c r="K30" s="151" t="s">
        <v>648</v>
      </c>
      <c r="L30" s="329"/>
      <c r="M30" s="321"/>
      <c r="AB30" s="91" t="s">
        <v>728</v>
      </c>
      <c r="AC30" s="882">
        <f>F25</f>
        <v>0</v>
      </c>
    </row>
    <row r="31" spans="1:29" s="236" customFormat="1" ht="21" x14ac:dyDescent="0.4">
      <c r="A31" s="674"/>
      <c r="B31" s="350"/>
      <c r="C31" s="846" t="s">
        <v>265</v>
      </c>
      <c r="D31" s="845"/>
      <c r="E31" s="324"/>
      <c r="F31" s="338">
        <f>IF('Gårdens info'!$D$32&gt;0,J31/'Gårdens info'!$D$32,0)</f>
        <v>0</v>
      </c>
      <c r="G31" s="151" t="s">
        <v>14</v>
      </c>
      <c r="H31" s="339">
        <f>IF('Gårdens info'!$G$32&gt;0,F31/'Gårdens info'!$G$32,0)</f>
        <v>0</v>
      </c>
      <c r="I31" s="151" t="s">
        <v>6</v>
      </c>
      <c r="J31" s="298">
        <f>Ägendom!BV22</f>
        <v>0</v>
      </c>
      <c r="K31" s="151" t="s">
        <v>648</v>
      </c>
      <c r="L31" s="329"/>
      <c r="M31" s="321"/>
      <c r="N31" s="91"/>
      <c r="O31" s="91"/>
      <c r="P31" s="91"/>
      <c r="S31" s="91"/>
      <c r="T31" s="91"/>
      <c r="U31" s="91"/>
      <c r="AB31" s="91" t="s">
        <v>576</v>
      </c>
      <c r="AC31" s="883">
        <f>F34</f>
        <v>0</v>
      </c>
    </row>
    <row r="32" spans="1:29" ht="17.399999999999999" customHeight="1" x14ac:dyDescent="0.3">
      <c r="B32" s="350"/>
      <c r="C32" s="941" t="s">
        <v>266</v>
      </c>
      <c r="D32" s="941"/>
      <c r="E32" s="324"/>
      <c r="F32" s="338">
        <f>IF('Gårdens info'!$D$32&gt;0,J32/'Gårdens info'!$D$32,0)</f>
        <v>0</v>
      </c>
      <c r="G32" s="151" t="s">
        <v>14</v>
      </c>
      <c r="H32" s="339">
        <f>IF('Gårdens info'!$G$32&gt;0,F32/'Gårdens info'!$G$32,0)</f>
        <v>0</v>
      </c>
      <c r="I32" s="151" t="s">
        <v>6</v>
      </c>
      <c r="J32" s="298">
        <f>Ägendom!CR22</f>
        <v>0</v>
      </c>
      <c r="K32" s="151" t="s">
        <v>648</v>
      </c>
      <c r="L32" s="329"/>
      <c r="M32" s="321"/>
      <c r="N32" s="91"/>
      <c r="O32" s="91"/>
      <c r="P32" s="91"/>
      <c r="S32" s="91"/>
      <c r="T32" s="91"/>
      <c r="U32" s="91"/>
      <c r="AB32" s="91" t="s">
        <v>577</v>
      </c>
      <c r="AC32" s="884">
        <f>F41</f>
        <v>0</v>
      </c>
    </row>
    <row r="33" spans="1:29" ht="21" x14ac:dyDescent="0.4">
      <c r="B33" s="350"/>
      <c r="C33" s="846" t="s">
        <v>399</v>
      </c>
      <c r="D33" s="845"/>
      <c r="E33" s="324"/>
      <c r="F33" s="338">
        <f>IF('Gårdens info'!$D$32&gt;0,J33/'Gårdens info'!$D$32,0)</f>
        <v>0</v>
      </c>
      <c r="G33" s="151" t="s">
        <v>14</v>
      </c>
      <c r="H33" s="339">
        <f>IF('Gårdens info'!$G$32&gt;0,F33/'Gårdens info'!$G$32,0)</f>
        <v>0</v>
      </c>
      <c r="I33" s="151" t="s">
        <v>6</v>
      </c>
      <c r="J33" s="298">
        <f>Ägendom!DN22</f>
        <v>0</v>
      </c>
      <c r="K33" s="151" t="s">
        <v>648</v>
      </c>
      <c r="L33" s="329"/>
      <c r="M33" s="321"/>
      <c r="N33" s="236"/>
      <c r="O33" s="236"/>
      <c r="P33" s="236"/>
      <c r="S33" s="236"/>
      <c r="T33" s="236"/>
      <c r="U33" s="236"/>
      <c r="AB33" s="91" t="s">
        <v>578</v>
      </c>
      <c r="AC33" s="884">
        <f>F48</f>
        <v>0</v>
      </c>
    </row>
    <row r="34" spans="1:29" ht="20.399999999999999" x14ac:dyDescent="0.35">
      <c r="B34" s="352"/>
      <c r="C34" s="340" t="s">
        <v>196</v>
      </c>
      <c r="D34" s="341"/>
      <c r="E34" s="324"/>
      <c r="F34" s="342">
        <f>SUM(F30:F33)</f>
        <v>0</v>
      </c>
      <c r="G34" s="151" t="s">
        <v>14</v>
      </c>
      <c r="H34" s="348">
        <f t="shared" ref="H34:J34" si="2">SUM(H30:H33)</f>
        <v>0</v>
      </c>
      <c r="I34" s="151" t="s">
        <v>6</v>
      </c>
      <c r="J34" s="342">
        <f t="shared" si="2"/>
        <v>0</v>
      </c>
      <c r="K34" s="151" t="s">
        <v>648</v>
      </c>
      <c r="L34" s="343"/>
      <c r="M34" s="321"/>
      <c r="AB34" s="91" t="s">
        <v>162</v>
      </c>
      <c r="AC34" s="884">
        <f>F54</f>
        <v>0</v>
      </c>
    </row>
    <row r="35" spans="1:29" s="91" customFormat="1" ht="21" x14ac:dyDescent="0.4">
      <c r="A35" s="672"/>
      <c r="B35" s="350"/>
      <c r="C35" s="846"/>
      <c r="D35" s="845"/>
      <c r="E35" s="324"/>
      <c r="F35" s="338"/>
      <c r="G35" s="151"/>
      <c r="H35" s="339"/>
      <c r="I35" s="151"/>
      <c r="J35" s="298"/>
      <c r="K35" s="151"/>
      <c r="L35" s="329"/>
      <c r="M35" s="321"/>
      <c r="N35"/>
      <c r="O35"/>
      <c r="P35"/>
      <c r="S35"/>
      <c r="T35"/>
      <c r="U35"/>
      <c r="AB35" s="91" t="s">
        <v>727</v>
      </c>
      <c r="AC35" s="882">
        <f>F60</f>
        <v>0</v>
      </c>
    </row>
    <row r="36" spans="1:29" s="91" customFormat="1" ht="17.399999999999999" customHeight="1" x14ac:dyDescent="0.3">
      <c r="A36" s="672"/>
      <c r="B36" s="970" t="s">
        <v>400</v>
      </c>
      <c r="C36" s="971"/>
      <c r="D36" s="971"/>
      <c r="E36" s="324"/>
      <c r="F36" s="338"/>
      <c r="G36" s="151"/>
      <c r="H36" s="339"/>
      <c r="I36" s="151"/>
      <c r="J36" s="298"/>
      <c r="K36" s="151"/>
      <c r="L36" s="329"/>
      <c r="M36" s="321"/>
      <c r="N36"/>
      <c r="O36"/>
      <c r="P36"/>
      <c r="S36"/>
      <c r="T36"/>
      <c r="U36"/>
      <c r="AB36" s="8"/>
      <c r="AC36" s="8"/>
    </row>
    <row r="37" spans="1:29" s="91" customFormat="1" ht="21" x14ac:dyDescent="0.4">
      <c r="A37" s="672"/>
      <c r="B37" s="350"/>
      <c r="C37" s="846" t="s">
        <v>264</v>
      </c>
      <c r="D37" s="845"/>
      <c r="E37" s="324"/>
      <c r="F37" s="338">
        <f>IF('Gårdens info'!$D$32&gt;0,J37/'Gårdens info'!$D$32,0)</f>
        <v>0</v>
      </c>
      <c r="G37" s="151" t="s">
        <v>14</v>
      </c>
      <c r="H37" s="339">
        <f>IF('Gårdens info'!$G$32&gt;0,F37/'Gårdens info'!$G$32,0)</f>
        <v>0</v>
      </c>
      <c r="I37" s="151" t="s">
        <v>6</v>
      </c>
      <c r="J37" s="298">
        <f>Ägendom!AZ51</f>
        <v>0</v>
      </c>
      <c r="K37" s="151" t="s">
        <v>648</v>
      </c>
      <c r="L37" s="329"/>
      <c r="M37" s="321"/>
      <c r="AB37" s="8"/>
      <c r="AC37" s="8"/>
    </row>
    <row r="38" spans="1:29" s="8" customFormat="1" ht="21" x14ac:dyDescent="0.4">
      <c r="A38" s="671"/>
      <c r="B38" s="350"/>
      <c r="C38" s="846" t="s">
        <v>265</v>
      </c>
      <c r="D38" s="845"/>
      <c r="E38" s="324"/>
      <c r="F38" s="338">
        <f>IF('Gårdens info'!$D$32&gt;0,J38/'Gårdens info'!$D$32,0)</f>
        <v>0</v>
      </c>
      <c r="G38" s="151" t="s">
        <v>14</v>
      </c>
      <c r="H38" s="339">
        <f>IF('Gårdens info'!$G$32&gt;0,F38/'Gårdens info'!$G$32,0)</f>
        <v>0</v>
      </c>
      <c r="I38" s="151" t="s">
        <v>6</v>
      </c>
      <c r="J38" s="298">
        <f>Ägendom!BV51</f>
        <v>0</v>
      </c>
      <c r="K38" s="151" t="s">
        <v>648</v>
      </c>
      <c r="L38" s="329"/>
      <c r="M38" s="321"/>
      <c r="N38" s="91"/>
      <c r="O38" s="91"/>
      <c r="P38" s="91"/>
      <c r="Q38" s="91"/>
      <c r="R38" s="91"/>
      <c r="S38" s="91"/>
      <c r="T38" s="91"/>
      <c r="U38" s="91"/>
    </row>
    <row r="39" spans="1:29" s="8" customFormat="1" ht="17.399999999999999" customHeight="1" x14ac:dyDescent="0.3">
      <c r="A39" s="671"/>
      <c r="B39" s="350"/>
      <c r="C39" s="941" t="s">
        <v>266</v>
      </c>
      <c r="D39" s="941"/>
      <c r="E39" s="324"/>
      <c r="F39" s="338">
        <f>IF('Gårdens info'!$D$32&gt;0,J39/'Gårdens info'!$D$32,0)</f>
        <v>0</v>
      </c>
      <c r="G39" s="151" t="s">
        <v>14</v>
      </c>
      <c r="H39" s="339">
        <f>IF('Gårdens info'!$G$32&gt;0,F39/'Gårdens info'!$G$32,0)</f>
        <v>0</v>
      </c>
      <c r="I39" s="151" t="s">
        <v>6</v>
      </c>
      <c r="J39" s="298">
        <f>Ägendom!CR51</f>
        <v>0</v>
      </c>
      <c r="K39" s="151" t="s">
        <v>648</v>
      </c>
      <c r="L39" s="329"/>
      <c r="M39" s="321"/>
      <c r="N39" s="91"/>
      <c r="O39" s="91"/>
      <c r="P39" s="91"/>
      <c r="Q39" s="91"/>
      <c r="R39" s="91"/>
      <c r="S39" s="91"/>
      <c r="T39" s="91"/>
      <c r="U39" s="91"/>
    </row>
    <row r="40" spans="1:29" s="8" customFormat="1" ht="21" x14ac:dyDescent="0.4">
      <c r="A40" s="671"/>
      <c r="B40" s="350"/>
      <c r="C40" s="846" t="s">
        <v>399</v>
      </c>
      <c r="D40" s="845"/>
      <c r="E40" s="324"/>
      <c r="F40" s="338">
        <f>IF('Gårdens info'!$D$32&gt;0,J40/'Gårdens info'!$D$32,0)</f>
        <v>0</v>
      </c>
      <c r="G40" s="151" t="s">
        <v>14</v>
      </c>
      <c r="H40" s="339">
        <f>IF('Gårdens info'!$G$32&gt;0,F40/'Gårdens info'!$G$32,0)</f>
        <v>0</v>
      </c>
      <c r="I40" s="151" t="s">
        <v>6</v>
      </c>
      <c r="J40" s="298">
        <f>Ägendom!DN51</f>
        <v>0</v>
      </c>
      <c r="K40" s="151" t="s">
        <v>648</v>
      </c>
      <c r="L40" s="329"/>
      <c r="M40" s="321"/>
    </row>
    <row r="41" spans="1:29" s="8" customFormat="1" ht="20.399999999999999" x14ac:dyDescent="0.35">
      <c r="A41" s="671"/>
      <c r="B41" s="352"/>
      <c r="C41" s="340" t="s">
        <v>196</v>
      </c>
      <c r="D41" s="341"/>
      <c r="E41" s="324"/>
      <c r="F41" s="342">
        <f>SUM(F37:F40)</f>
        <v>0</v>
      </c>
      <c r="G41" s="151" t="s">
        <v>14</v>
      </c>
      <c r="H41" s="348">
        <f t="shared" ref="H41:J41" si="3">SUM(H37:H40)</f>
        <v>0</v>
      </c>
      <c r="I41" s="151" t="s">
        <v>6</v>
      </c>
      <c r="J41" s="342">
        <f t="shared" si="3"/>
        <v>0</v>
      </c>
      <c r="K41" s="151" t="s">
        <v>648</v>
      </c>
      <c r="L41" s="343"/>
      <c r="M41" s="321"/>
    </row>
    <row r="42" spans="1:29" s="8" customFormat="1" ht="21" x14ac:dyDescent="0.4">
      <c r="A42" s="671"/>
      <c r="B42" s="350"/>
      <c r="C42" s="846"/>
      <c r="D42" s="845"/>
      <c r="E42" s="324"/>
      <c r="F42" s="338"/>
      <c r="G42" s="151"/>
      <c r="H42" s="339"/>
      <c r="I42" s="151"/>
      <c r="J42" s="298"/>
      <c r="K42" s="151"/>
      <c r="L42" s="329"/>
      <c r="M42" s="321"/>
      <c r="AB42"/>
      <c r="AC42"/>
    </row>
    <row r="43" spans="1:29" s="8" customFormat="1" ht="43.05" customHeight="1" x14ac:dyDescent="0.3">
      <c r="A43" s="671"/>
      <c r="B43" s="947" t="s">
        <v>151</v>
      </c>
      <c r="C43" s="948"/>
      <c r="D43" s="948"/>
      <c r="E43" s="324"/>
      <c r="F43" s="338"/>
      <c r="G43" s="151"/>
      <c r="H43" s="339"/>
      <c r="I43" s="151"/>
      <c r="J43" s="298"/>
      <c r="K43" s="151"/>
      <c r="L43" s="329"/>
      <c r="M43" s="321"/>
    </row>
    <row r="44" spans="1:29" ht="21" x14ac:dyDescent="0.4">
      <c r="B44" s="350"/>
      <c r="C44" s="846" t="s">
        <v>264</v>
      </c>
      <c r="D44" s="845"/>
      <c r="E44" s="324"/>
      <c r="F44" s="338">
        <f>IF('Gårdens info'!$D$32&gt;0,J44/'Gårdens info'!$D$32,0)</f>
        <v>0</v>
      </c>
      <c r="G44" s="151" t="s">
        <v>14</v>
      </c>
      <c r="H44" s="339">
        <f>IF('Gårdens info'!$G$32&gt;0,F44/'Gårdens info'!$G$32,0)</f>
        <v>0</v>
      </c>
      <c r="I44" s="151" t="s">
        <v>6</v>
      </c>
      <c r="J44" s="298">
        <f>Ägendom!AZ76</f>
        <v>0</v>
      </c>
      <c r="K44" s="151" t="s">
        <v>648</v>
      </c>
      <c r="L44" s="329"/>
      <c r="M44" s="321"/>
      <c r="N44" s="8"/>
      <c r="O44" s="8"/>
      <c r="P44" s="8"/>
      <c r="Q44" s="8"/>
      <c r="R44" s="8"/>
      <c r="S44" s="8"/>
      <c r="T44" s="8"/>
      <c r="U44" s="8"/>
      <c r="AB44" s="8"/>
      <c r="AC44" s="8"/>
    </row>
    <row r="45" spans="1:29" s="8" customFormat="1" ht="21" x14ac:dyDescent="0.4">
      <c r="A45" s="671"/>
      <c r="B45" s="350"/>
      <c r="C45" s="846" t="s">
        <v>265</v>
      </c>
      <c r="D45" s="845"/>
      <c r="E45" s="324"/>
      <c r="F45" s="338">
        <f>IF('Gårdens info'!$D$32&gt;0,J45/'Gårdens info'!$D$32,0)</f>
        <v>0</v>
      </c>
      <c r="G45" s="151" t="s">
        <v>14</v>
      </c>
      <c r="H45" s="339">
        <f>IF('Gårdens info'!$G$32&gt;0,F45/'Gårdens info'!$G$32,0)</f>
        <v>0</v>
      </c>
      <c r="I45" s="151" t="s">
        <v>6</v>
      </c>
      <c r="J45" s="298">
        <f>Ägendom!BV76</f>
        <v>0</v>
      </c>
      <c r="K45" s="151" t="s">
        <v>648</v>
      </c>
      <c r="L45" s="329"/>
      <c r="M45" s="321"/>
    </row>
    <row r="46" spans="1:29" s="8" customFormat="1" ht="17.399999999999999" customHeight="1" x14ac:dyDescent="0.3">
      <c r="A46" s="671"/>
      <c r="B46" s="350"/>
      <c r="C46" s="941" t="s">
        <v>266</v>
      </c>
      <c r="D46" s="941"/>
      <c r="E46" s="324"/>
      <c r="F46" s="338">
        <f>IF('Gårdens info'!$D$32&gt;0,J46/'Gårdens info'!$D$32,0)</f>
        <v>0</v>
      </c>
      <c r="G46" s="151" t="s">
        <v>14</v>
      </c>
      <c r="H46" s="339">
        <f>IF('Gårdens info'!$G$32&gt;0,F46/'Gårdens info'!$G$32,0)</f>
        <v>0</v>
      </c>
      <c r="I46" s="151" t="s">
        <v>6</v>
      </c>
      <c r="J46" s="298">
        <f>Ägendom!CR76</f>
        <v>0</v>
      </c>
      <c r="K46" s="151" t="s">
        <v>648</v>
      </c>
      <c r="L46" s="329"/>
      <c r="M46" s="321"/>
      <c r="N46"/>
      <c r="O46"/>
      <c r="P46"/>
      <c r="Q46"/>
      <c r="R46"/>
      <c r="S46"/>
      <c r="T46"/>
      <c r="U46"/>
    </row>
    <row r="47" spans="1:29" s="8" customFormat="1" ht="21" x14ac:dyDescent="0.4">
      <c r="A47" s="671"/>
      <c r="B47" s="350"/>
      <c r="C47" s="846" t="s">
        <v>399</v>
      </c>
      <c r="D47" s="845"/>
      <c r="E47" s="324"/>
      <c r="F47" s="338">
        <f>IF('Gårdens info'!$D$32&gt;0,J47/'Gårdens info'!$D$32,0)</f>
        <v>0</v>
      </c>
      <c r="G47" s="151" t="s">
        <v>14</v>
      </c>
      <c r="H47" s="339">
        <f>IF('Gårdens info'!$G$32&gt;0,F47/'Gårdens info'!$G$32,0)</f>
        <v>0</v>
      </c>
      <c r="I47" s="151" t="s">
        <v>6</v>
      </c>
      <c r="J47" s="298">
        <f>Ägendom!DN76</f>
        <v>0</v>
      </c>
      <c r="K47" s="151" t="s">
        <v>648</v>
      </c>
      <c r="L47" s="329"/>
      <c r="M47" s="321"/>
    </row>
    <row r="48" spans="1:29" s="8" customFormat="1" ht="20.399999999999999" x14ac:dyDescent="0.35">
      <c r="A48" s="671"/>
      <c r="B48" s="352"/>
      <c r="C48" s="340" t="s">
        <v>196</v>
      </c>
      <c r="D48" s="341"/>
      <c r="E48" s="324"/>
      <c r="F48" s="342">
        <f>SUM(F44:F47)</f>
        <v>0</v>
      </c>
      <c r="G48" s="151" t="s">
        <v>14</v>
      </c>
      <c r="H48" s="348">
        <f t="shared" ref="H48:J48" si="4">SUM(H44:H47)</f>
        <v>0</v>
      </c>
      <c r="I48" s="151" t="s">
        <v>6</v>
      </c>
      <c r="J48" s="342">
        <f t="shared" si="4"/>
        <v>0</v>
      </c>
      <c r="K48" s="151" t="s">
        <v>648</v>
      </c>
      <c r="L48" s="343"/>
      <c r="M48" s="321"/>
    </row>
    <row r="49" spans="1:29" s="8" customFormat="1" ht="21" x14ac:dyDescent="0.4">
      <c r="A49" s="671"/>
      <c r="B49" s="350"/>
      <c r="C49" s="846"/>
      <c r="D49" s="845"/>
      <c r="E49" s="324"/>
      <c r="F49" s="338"/>
      <c r="G49" s="151"/>
      <c r="H49" s="339"/>
      <c r="I49" s="151"/>
      <c r="J49" s="298"/>
      <c r="K49" s="151"/>
      <c r="L49" s="329"/>
      <c r="M49" s="321"/>
    </row>
    <row r="50" spans="1:29" s="8" customFormat="1" ht="21" customHeight="1" x14ac:dyDescent="0.4">
      <c r="A50" s="671"/>
      <c r="B50" s="951" t="s">
        <v>160</v>
      </c>
      <c r="C50" s="952"/>
      <c r="D50" s="845"/>
      <c r="E50" s="324"/>
      <c r="F50" s="338"/>
      <c r="G50" s="151"/>
      <c r="H50" s="339"/>
      <c r="I50" s="151"/>
      <c r="J50" s="298"/>
      <c r="K50" s="151"/>
      <c r="L50" s="329"/>
      <c r="M50" s="321"/>
    </row>
    <row r="51" spans="1:29" s="8" customFormat="1" ht="21" x14ac:dyDescent="0.4">
      <c r="A51" s="671"/>
      <c r="B51" s="350"/>
      <c r="C51" s="846" t="s">
        <v>264</v>
      </c>
      <c r="D51" s="845"/>
      <c r="E51" s="324"/>
      <c r="F51" s="338">
        <f>IF('Gårdens info'!$D$32&gt;0,J51/'Gårdens info'!$D$32,0)</f>
        <v>0</v>
      </c>
      <c r="G51" s="151" t="s">
        <v>14</v>
      </c>
      <c r="H51" s="339">
        <f>IF('Gårdens info'!$G$32&gt;0,F51/'Gårdens info'!$G$32,0)</f>
        <v>0</v>
      </c>
      <c r="I51" s="151" t="s">
        <v>6</v>
      </c>
      <c r="J51" s="298">
        <f>Ägendom!AZ79</f>
        <v>0</v>
      </c>
      <c r="K51" s="151" t="s">
        <v>648</v>
      </c>
      <c r="L51" s="329"/>
      <c r="M51" s="321"/>
    </row>
    <row r="52" spans="1:29" s="8" customFormat="1" ht="19.95" customHeight="1" x14ac:dyDescent="0.4">
      <c r="A52" s="671"/>
      <c r="B52" s="350"/>
      <c r="C52" s="846" t="s">
        <v>265</v>
      </c>
      <c r="D52" s="845"/>
      <c r="E52" s="324"/>
      <c r="F52" s="338">
        <f>IF('Gårdens info'!$D$32&gt;0,J52/'Gårdens info'!$D$32,0)</f>
        <v>0</v>
      </c>
      <c r="G52" s="151" t="s">
        <v>14</v>
      </c>
      <c r="H52" s="339">
        <f>IF('Gårdens info'!$G$32&gt;0,F52/'Gårdens info'!$G$32,0)</f>
        <v>0</v>
      </c>
      <c r="I52" s="151" t="s">
        <v>6</v>
      </c>
      <c r="J52" s="298">
        <f>Ägendom!BV79</f>
        <v>0</v>
      </c>
      <c r="K52" s="151" t="s">
        <v>648</v>
      </c>
      <c r="L52" s="329"/>
      <c r="M52" s="321"/>
    </row>
    <row r="53" spans="1:29" s="8" customFormat="1" ht="17.399999999999999" customHeight="1" x14ac:dyDescent="0.3">
      <c r="A53" s="671"/>
      <c r="B53" s="350"/>
      <c r="C53" s="941" t="s">
        <v>266</v>
      </c>
      <c r="D53" s="941"/>
      <c r="E53" s="324"/>
      <c r="F53" s="338">
        <f>IF('Gårdens info'!$D$32&gt;0,J53/'Gårdens info'!$D$32,0)</f>
        <v>0</v>
      </c>
      <c r="G53" s="151" t="s">
        <v>14</v>
      </c>
      <c r="H53" s="339">
        <f>IF('Gårdens info'!$G$32&gt;0,F53/'Gårdens info'!$G$32,0)</f>
        <v>0</v>
      </c>
      <c r="I53" s="151" t="s">
        <v>6</v>
      </c>
      <c r="J53" s="298">
        <f>Ägendom!CR79</f>
        <v>0</v>
      </c>
      <c r="K53" s="151" t="s">
        <v>648</v>
      </c>
      <c r="L53" s="329"/>
      <c r="M53" s="321"/>
    </row>
    <row r="54" spans="1:29" s="8" customFormat="1" ht="15.6" x14ac:dyDescent="0.3">
      <c r="A54" s="671"/>
      <c r="B54" s="349"/>
      <c r="C54" s="323" t="s">
        <v>196</v>
      </c>
      <c r="D54" s="323"/>
      <c r="E54" s="323"/>
      <c r="F54" s="342">
        <f>SUM(F51:F53)</f>
        <v>0</v>
      </c>
      <c r="G54" s="151" t="s">
        <v>14</v>
      </c>
      <c r="H54" s="348">
        <f t="shared" ref="H54:J54" si="5">SUM(H51:H53)</f>
        <v>0</v>
      </c>
      <c r="I54" s="151" t="s">
        <v>6</v>
      </c>
      <c r="J54" s="342">
        <f t="shared" si="5"/>
        <v>0</v>
      </c>
      <c r="K54" s="151" t="s">
        <v>648</v>
      </c>
      <c r="L54" s="347"/>
      <c r="M54" s="353"/>
    </row>
    <row r="55" spans="1:29" s="8" customFormat="1" ht="21" customHeight="1" x14ac:dyDescent="0.4">
      <c r="A55" s="671"/>
      <c r="B55" s="932" t="s">
        <v>229</v>
      </c>
      <c r="C55" s="933"/>
      <c r="D55" s="933"/>
      <c r="E55" s="324"/>
      <c r="F55" s="328">
        <f>F34+F41+F48+F54</f>
        <v>0</v>
      </c>
      <c r="G55" s="329" t="s">
        <v>14</v>
      </c>
      <c r="H55" s="330">
        <f>H34+H41+H48+H54</f>
        <v>0</v>
      </c>
      <c r="I55" s="329" t="s">
        <v>6</v>
      </c>
      <c r="J55" s="331">
        <f>J34+J41+J48+J54</f>
        <v>0</v>
      </c>
      <c r="K55" s="329" t="s">
        <v>648</v>
      </c>
      <c r="L55" s="329"/>
      <c r="M55" s="321"/>
    </row>
    <row r="56" spans="1:29" s="8" customFormat="1" ht="15.6" x14ac:dyDescent="0.3">
      <c r="A56" s="671"/>
      <c r="B56" s="349"/>
      <c r="C56" s="324"/>
      <c r="D56" s="324"/>
      <c r="E56" s="324"/>
      <c r="F56" s="325"/>
      <c r="G56" s="304"/>
      <c r="H56" s="326"/>
      <c r="I56" s="304"/>
      <c r="J56" s="320"/>
      <c r="K56" s="304"/>
      <c r="L56" s="327"/>
      <c r="M56" s="321"/>
    </row>
    <row r="57" spans="1:29" s="8" customFormat="1" ht="21" x14ac:dyDescent="0.4">
      <c r="A57" s="671"/>
      <c r="B57" s="319" t="s">
        <v>230</v>
      </c>
      <c r="C57" s="324"/>
      <c r="D57" s="324"/>
      <c r="E57" s="324"/>
      <c r="F57" s="325"/>
      <c r="G57" s="304"/>
      <c r="H57" s="326"/>
      <c r="I57" s="304"/>
      <c r="J57" s="320"/>
      <c r="K57" s="304"/>
      <c r="L57" s="327"/>
      <c r="M57" s="321"/>
    </row>
    <row r="58" spans="1:29" s="8" customFormat="1" ht="15" x14ac:dyDescent="0.25">
      <c r="A58" s="671"/>
      <c r="B58" s="296"/>
      <c r="C58" s="289" t="s">
        <v>230</v>
      </c>
      <c r="D58" s="297"/>
      <c r="E58" s="297"/>
      <c r="F58" s="298">
        <f>IF('Gårdens info'!D32&gt;0,H134,0)</f>
        <v>0</v>
      </c>
      <c r="G58" s="151" t="s">
        <v>14</v>
      </c>
      <c r="H58" s="299">
        <f>IF('Gårdens info'!G32&gt;0,F58/'Gårdens info'!$G$32,0)</f>
        <v>0</v>
      </c>
      <c r="I58" s="151" t="s">
        <v>6</v>
      </c>
      <c r="J58" s="298">
        <f>F58*'Gårdens info'!D32</f>
        <v>0</v>
      </c>
      <c r="K58" s="151" t="s">
        <v>648</v>
      </c>
      <c r="L58" s="297"/>
      <c r="M58" s="300"/>
    </row>
    <row r="59" spans="1:29" s="8" customFormat="1" ht="17.399999999999999" x14ac:dyDescent="0.3">
      <c r="A59" s="671"/>
      <c r="B59" s="850"/>
      <c r="C59" s="306"/>
      <c r="D59" s="310"/>
      <c r="E59" s="310"/>
      <c r="F59" s="311"/>
      <c r="G59" s="153"/>
      <c r="H59" s="310"/>
      <c r="I59" s="310"/>
      <c r="J59" s="310"/>
      <c r="L59" s="310"/>
      <c r="M59" s="295"/>
    </row>
    <row r="60" spans="1:29" s="8" customFormat="1" ht="21" customHeight="1" x14ac:dyDescent="0.4">
      <c r="A60" s="671"/>
      <c r="B60" s="932" t="s">
        <v>230</v>
      </c>
      <c r="C60" s="933"/>
      <c r="D60" s="933"/>
      <c r="E60" s="324"/>
      <c r="F60" s="328">
        <f>F58</f>
        <v>0</v>
      </c>
      <c r="G60" s="329" t="s">
        <v>14</v>
      </c>
      <c r="H60" s="330">
        <f>H58</f>
        <v>0</v>
      </c>
      <c r="I60" s="329" t="s">
        <v>6</v>
      </c>
      <c r="J60" s="331">
        <f>J58</f>
        <v>0</v>
      </c>
      <c r="K60" s="329" t="s">
        <v>648</v>
      </c>
      <c r="L60" s="329"/>
      <c r="M60" s="321"/>
    </row>
    <row r="61" spans="1:29" s="8" customFormat="1" ht="21" x14ac:dyDescent="0.4">
      <c r="A61" s="671"/>
      <c r="B61" s="844"/>
      <c r="C61" s="845"/>
      <c r="D61" s="845"/>
      <c r="E61" s="324"/>
      <c r="F61" s="328"/>
      <c r="G61" s="329"/>
      <c r="H61" s="330"/>
      <c r="I61" s="329"/>
      <c r="J61" s="331"/>
      <c r="K61" s="329"/>
      <c r="L61" s="329"/>
      <c r="M61" s="321"/>
    </row>
    <row r="62" spans="1:29" s="8" customFormat="1" ht="21" customHeight="1" x14ac:dyDescent="0.4">
      <c r="A62" s="671"/>
      <c r="B62" s="932" t="s">
        <v>616</v>
      </c>
      <c r="C62" s="933"/>
      <c r="D62" s="933"/>
      <c r="E62" s="324"/>
      <c r="F62" s="328">
        <f>F26+F55+F60</f>
        <v>0</v>
      </c>
      <c r="G62" s="329" t="s">
        <v>14</v>
      </c>
      <c r="H62" s="705">
        <f>H26+H55+H60</f>
        <v>0</v>
      </c>
      <c r="I62" s="329" t="s">
        <v>6</v>
      </c>
      <c r="J62" s="328">
        <f>J26+J55+J60</f>
        <v>0</v>
      </c>
      <c r="K62" s="329" t="s">
        <v>648</v>
      </c>
      <c r="L62" s="329"/>
      <c r="M62" s="321"/>
    </row>
    <row r="63" spans="1:29" s="8" customFormat="1" ht="21" x14ac:dyDescent="0.4">
      <c r="A63" s="671"/>
      <c r="B63" s="844"/>
      <c r="C63" s="845"/>
      <c r="D63" s="845"/>
      <c r="E63" s="324"/>
      <c r="F63" s="328"/>
      <c r="G63" s="329"/>
      <c r="H63" s="330"/>
      <c r="I63" s="329"/>
      <c r="J63" s="331"/>
      <c r="K63" s="329"/>
      <c r="L63" s="329"/>
      <c r="M63" s="321"/>
    </row>
    <row r="64" spans="1:29" s="8" customFormat="1" ht="21.6" customHeight="1" thickBot="1" x14ac:dyDescent="0.45">
      <c r="A64" s="671"/>
      <c r="B64" s="936" t="s">
        <v>269</v>
      </c>
      <c r="C64" s="937"/>
      <c r="D64" s="937"/>
      <c r="E64" s="315"/>
      <c r="F64" s="355">
        <f>F11-F26-F55-F60</f>
        <v>0</v>
      </c>
      <c r="G64" s="356" t="s">
        <v>14</v>
      </c>
      <c r="H64" s="357">
        <f>H11-H26-H55-H60</f>
        <v>0.26</v>
      </c>
      <c r="I64" s="356" t="s">
        <v>6</v>
      </c>
      <c r="J64" s="355">
        <f>J11-J26-J55-J60</f>
        <v>0</v>
      </c>
      <c r="K64" s="356" t="s">
        <v>648</v>
      </c>
      <c r="L64" s="356"/>
      <c r="M64" s="316"/>
      <c r="AB64" s="239"/>
      <c r="AC64" s="239"/>
    </row>
    <row r="65" spans="1:29" s="8" customFormat="1" ht="21" x14ac:dyDescent="0.4">
      <c r="A65" s="671"/>
      <c r="B65" s="76"/>
      <c r="C65"/>
      <c r="D65"/>
      <c r="E65"/>
      <c r="F65"/>
      <c r="G65"/>
      <c r="H65"/>
      <c r="I65"/>
      <c r="J65"/>
      <c r="K65"/>
      <c r="L65"/>
      <c r="M65"/>
    </row>
    <row r="66" spans="1:29" s="239" customFormat="1" ht="16.2" thickBot="1" x14ac:dyDescent="0.35">
      <c r="A66" s="675"/>
      <c r="B66"/>
      <c r="C66"/>
      <c r="D66"/>
      <c r="E66"/>
      <c r="F66"/>
      <c r="G66"/>
      <c r="H66"/>
      <c r="I66"/>
      <c r="J66"/>
      <c r="K66"/>
      <c r="L66"/>
      <c r="M66"/>
      <c r="N66" s="8"/>
      <c r="O66" s="8"/>
      <c r="P66" s="8"/>
      <c r="Q66" s="8"/>
      <c r="R66" s="8"/>
      <c r="S66" s="8"/>
      <c r="T66" s="8"/>
      <c r="U66" s="8"/>
      <c r="AB66" s="8"/>
      <c r="AC66" s="8"/>
    </row>
    <row r="67" spans="1:29" s="8" customFormat="1" ht="21.6" thickBot="1" x14ac:dyDescent="0.45">
      <c r="A67" s="671"/>
      <c r="B67" s="953" t="s">
        <v>41</v>
      </c>
      <c r="C67" s="954"/>
      <c r="D67" s="954"/>
      <c r="E67" s="955"/>
      <c r="F67"/>
      <c r="G67"/>
      <c r="H67"/>
      <c r="I67"/>
      <c r="J67"/>
      <c r="K67"/>
      <c r="L67" s="956" t="s">
        <v>271</v>
      </c>
      <c r="M67" s="956"/>
      <c r="AB67"/>
      <c r="AC67"/>
    </row>
    <row r="68" spans="1:29" s="8" customFormat="1" ht="21" x14ac:dyDescent="0.4">
      <c r="A68" s="671"/>
      <c r="B68" s="470"/>
      <c r="C68" s="470"/>
      <c r="D68" s="470"/>
      <c r="E68" s="470"/>
      <c r="F68" s="534"/>
      <c r="G68" s="534"/>
      <c r="H68" s="534"/>
      <c r="I68" s="534"/>
      <c r="J68" s="534"/>
      <c r="K68" s="534"/>
      <c r="L68" s="565"/>
      <c r="M68" s="565"/>
      <c r="AB68"/>
      <c r="AC68"/>
    </row>
    <row r="69" spans="1:29" ht="15.6" x14ac:dyDescent="0.3">
      <c r="B69" s="113" t="s">
        <v>272</v>
      </c>
      <c r="C69" s="65"/>
      <c r="D69" s="65"/>
      <c r="E69" s="65"/>
      <c r="F69" s="959" t="s">
        <v>159</v>
      </c>
      <c r="G69" s="959"/>
      <c r="H69" s="959" t="s">
        <v>158</v>
      </c>
      <c r="I69" s="959"/>
      <c r="J69" s="959" t="s">
        <v>324</v>
      </c>
      <c r="K69" s="959"/>
      <c r="L69" s="143" t="s">
        <v>274</v>
      </c>
      <c r="M69" s="67"/>
    </row>
    <row r="70" spans="1:29" ht="13.8" thickBot="1" x14ac:dyDescent="0.3">
      <c r="B70" s="69"/>
      <c r="C70" s="65"/>
      <c r="D70" s="65"/>
      <c r="E70" s="65"/>
      <c r="F70" s="65"/>
      <c r="G70" s="65"/>
      <c r="H70" s="65"/>
      <c r="I70" s="65"/>
      <c r="J70" s="67"/>
      <c r="K70" s="67"/>
      <c r="L70" s="67"/>
      <c r="M70" s="67"/>
    </row>
    <row r="71" spans="1:29" ht="13.8" thickBot="1" x14ac:dyDescent="0.3">
      <c r="B71" s="69"/>
      <c r="C71" s="65" t="s">
        <v>218</v>
      </c>
      <c r="D71" s="65"/>
      <c r="E71" s="65"/>
      <c r="F71" s="96">
        <v>270</v>
      </c>
      <c r="G71" s="65" t="s">
        <v>1</v>
      </c>
      <c r="H71" s="96">
        <v>0.4</v>
      </c>
      <c r="I71" s="70" t="s">
        <v>6</v>
      </c>
      <c r="J71" s="235">
        <f>F71*H71</f>
        <v>108</v>
      </c>
      <c r="K71" s="65" t="s">
        <v>14</v>
      </c>
      <c r="L71" s="67"/>
      <c r="M71" s="67"/>
      <c r="AB71" s="8"/>
      <c r="AC71" s="8"/>
    </row>
    <row r="72" spans="1:29" ht="13.8" thickBot="1" x14ac:dyDescent="0.3">
      <c r="B72" s="65"/>
      <c r="C72" s="66" t="s">
        <v>499</v>
      </c>
      <c r="D72" s="67"/>
      <c r="E72" s="65"/>
      <c r="F72" s="96"/>
      <c r="G72" s="65" t="s">
        <v>1</v>
      </c>
      <c r="H72" s="96"/>
      <c r="I72" s="70" t="s">
        <v>6</v>
      </c>
      <c r="J72" s="235">
        <f>F72*H72</f>
        <v>0</v>
      </c>
      <c r="K72" s="65" t="s">
        <v>14</v>
      </c>
      <c r="L72" s="65"/>
      <c r="M72" s="67"/>
    </row>
    <row r="73" spans="1:29" s="8" customFormat="1" x14ac:dyDescent="0.25">
      <c r="A73" s="671"/>
      <c r="B73" s="71"/>
      <c r="C73" s="71" t="s">
        <v>196</v>
      </c>
      <c r="D73" s="572"/>
      <c r="E73" s="71"/>
      <c r="F73" s="277"/>
      <c r="G73" s="573"/>
      <c r="H73" s="574"/>
      <c r="I73" s="279"/>
      <c r="J73" s="280">
        <f>SUM(J71:J72)</f>
        <v>108</v>
      </c>
      <c r="K73" s="71"/>
      <c r="L73" s="71"/>
      <c r="M73" s="71"/>
    </row>
    <row r="74" spans="1:29" ht="17.399999999999999" x14ac:dyDescent="0.3">
      <c r="B74" s="535"/>
      <c r="C74" s="535"/>
      <c r="D74" s="569"/>
      <c r="E74" s="535"/>
      <c r="F74" s="570"/>
      <c r="G74" s="535"/>
      <c r="H74" s="307"/>
      <c r="I74" s="537"/>
      <c r="J74" s="571"/>
      <c r="K74" s="535"/>
      <c r="L74" s="534"/>
      <c r="M74" s="534"/>
      <c r="AB74" s="77"/>
      <c r="AC74" s="77"/>
    </row>
    <row r="75" spans="1:29" s="8" customFormat="1" ht="17.399999999999999" x14ac:dyDescent="0.3">
      <c r="A75" s="671"/>
      <c r="B75" s="120" t="s">
        <v>275</v>
      </c>
      <c r="C75" s="121"/>
      <c r="D75" s="121"/>
      <c r="E75" s="121"/>
      <c r="F75" s="960" t="s">
        <v>159</v>
      </c>
      <c r="G75" s="960"/>
      <c r="H75" s="960" t="s">
        <v>158</v>
      </c>
      <c r="I75" s="960"/>
      <c r="J75" s="960" t="s">
        <v>324</v>
      </c>
      <c r="K75" s="960"/>
      <c r="L75" s="123"/>
      <c r="M75" s="123"/>
      <c r="AB75" s="77"/>
      <c r="AC75" s="77"/>
    </row>
    <row r="76" spans="1:29" s="77" customFormat="1" ht="18" thickBot="1" x14ac:dyDescent="0.35">
      <c r="A76" s="673"/>
      <c r="B76" s="121"/>
      <c r="C76" s="121"/>
      <c r="D76" s="121"/>
      <c r="E76" s="121"/>
      <c r="F76" s="121"/>
      <c r="G76" s="121"/>
      <c r="H76" s="122"/>
      <c r="I76" s="122"/>
      <c r="J76" s="123"/>
      <c r="K76" s="123"/>
      <c r="L76" s="123"/>
      <c r="M76" s="123"/>
      <c r="N76" s="8"/>
      <c r="O76" s="8"/>
      <c r="P76" s="8"/>
      <c r="Q76" s="8"/>
      <c r="R76" s="8"/>
      <c r="S76" s="8"/>
      <c r="T76" s="8"/>
      <c r="U76" s="8"/>
      <c r="AB76"/>
      <c r="AC76"/>
    </row>
    <row r="77" spans="1:29" s="77" customFormat="1" ht="18" thickBot="1" x14ac:dyDescent="0.35">
      <c r="A77" s="673"/>
      <c r="B77" s="121"/>
      <c r="C77" s="121" t="s">
        <v>76</v>
      </c>
      <c r="D77" s="121"/>
      <c r="E77" s="121"/>
      <c r="F77" s="96">
        <v>370</v>
      </c>
      <c r="G77" s="121" t="s">
        <v>21</v>
      </c>
      <c r="H77" s="99">
        <v>0.41</v>
      </c>
      <c r="I77" s="122" t="s">
        <v>6</v>
      </c>
      <c r="J77" s="124">
        <f t="shared" ref="J77:J78" si="6">F77*H77</f>
        <v>151.69999999999999</v>
      </c>
      <c r="K77" s="121" t="s">
        <v>14</v>
      </c>
      <c r="L77" s="123"/>
      <c r="M77" s="123"/>
      <c r="AB77" s="91"/>
      <c r="AC77" s="91"/>
    </row>
    <row r="78" spans="1:29" ht="15.6" thickBot="1" x14ac:dyDescent="0.3">
      <c r="B78" s="121"/>
      <c r="C78" s="121" t="s">
        <v>32</v>
      </c>
      <c r="D78" s="121"/>
      <c r="E78" s="121"/>
      <c r="F78" s="96"/>
      <c r="G78" s="121" t="s">
        <v>21</v>
      </c>
      <c r="H78" s="99"/>
      <c r="I78" s="122" t="s">
        <v>6</v>
      </c>
      <c r="J78" s="124">
        <f t="shared" si="6"/>
        <v>0</v>
      </c>
      <c r="K78" s="121" t="s">
        <v>14</v>
      </c>
      <c r="L78" s="123"/>
      <c r="M78" s="123"/>
      <c r="N78" s="91"/>
      <c r="O78" s="91"/>
      <c r="P78" s="91"/>
      <c r="Q78" s="91"/>
      <c r="R78" s="91"/>
      <c r="S78" s="91"/>
      <c r="T78" s="91"/>
      <c r="U78" s="91"/>
      <c r="AB78" s="8"/>
      <c r="AC78" s="8"/>
    </row>
    <row r="79" spans="1:29" s="91" customFormat="1" ht="17.399999999999999" x14ac:dyDescent="0.3">
      <c r="A79" s="672"/>
      <c r="B79" s="270"/>
      <c r="C79" s="270" t="s">
        <v>16</v>
      </c>
      <c r="D79" s="270"/>
      <c r="E79" s="270"/>
      <c r="F79" s="270"/>
      <c r="G79" s="270"/>
      <c r="H79" s="270"/>
      <c r="I79" s="271"/>
      <c r="J79" s="272">
        <f>SUM(J77:J78)</f>
        <v>151.69999999999999</v>
      </c>
      <c r="K79" s="270" t="s">
        <v>14</v>
      </c>
      <c r="L79" s="270"/>
      <c r="M79" s="270"/>
      <c r="N79" s="77"/>
      <c r="O79" s="77"/>
      <c r="P79" s="77"/>
      <c r="Q79" s="77"/>
      <c r="R79" s="77"/>
      <c r="S79" s="77"/>
      <c r="T79" s="77"/>
      <c r="U79" s="77"/>
      <c r="AB79" s="8"/>
      <c r="AC79" s="8"/>
    </row>
    <row r="80" spans="1:29" s="8" customFormat="1" x14ac:dyDescent="0.25">
      <c r="A80" s="671"/>
      <c r="B80" s="121"/>
      <c r="C80" s="121"/>
      <c r="D80" s="121"/>
      <c r="E80" s="121"/>
      <c r="F80" s="121"/>
      <c r="G80" s="121"/>
      <c r="H80" s="121"/>
      <c r="I80" s="122"/>
      <c r="J80" s="124"/>
      <c r="K80" s="121"/>
      <c r="L80" s="123"/>
      <c r="M80" s="123"/>
      <c r="N80"/>
      <c r="O80"/>
      <c r="P80"/>
      <c r="Q80"/>
      <c r="R80"/>
      <c r="S80"/>
      <c r="T80"/>
      <c r="U80"/>
    </row>
    <row r="81" spans="1:29" s="8" customFormat="1" ht="15" x14ac:dyDescent="0.25">
      <c r="A81" s="671"/>
      <c r="B81"/>
      <c r="C81"/>
      <c r="D81"/>
      <c r="E81"/>
      <c r="F81"/>
      <c r="G81"/>
      <c r="H81"/>
      <c r="I81"/>
      <c r="J81"/>
      <c r="K81"/>
      <c r="L81"/>
      <c r="M81"/>
      <c r="N81" s="91"/>
      <c r="O81" s="91"/>
      <c r="P81" s="91"/>
      <c r="Q81" s="91"/>
      <c r="R81" s="91"/>
      <c r="S81" s="91"/>
      <c r="T81" s="91"/>
      <c r="U81" s="91"/>
      <c r="AB81"/>
      <c r="AC81"/>
    </row>
    <row r="82" spans="1:29" s="8" customFormat="1" ht="15.6" x14ac:dyDescent="0.3">
      <c r="A82" s="671"/>
      <c r="B82" s="109" t="s">
        <v>282</v>
      </c>
      <c r="C82" s="72"/>
      <c r="D82" s="72"/>
      <c r="E82" s="72"/>
      <c r="F82" s="957" t="s">
        <v>159</v>
      </c>
      <c r="G82" s="957"/>
      <c r="H82" s="958" t="s">
        <v>158</v>
      </c>
      <c r="I82" s="958"/>
      <c r="J82" s="957" t="s">
        <v>324</v>
      </c>
      <c r="K82" s="957"/>
      <c r="L82" s="79"/>
      <c r="M82" s="79"/>
      <c r="AB82"/>
      <c r="AC82"/>
    </row>
    <row r="83" spans="1:29" x14ac:dyDescent="0.25">
      <c r="B83" s="72"/>
      <c r="C83" s="72"/>
      <c r="D83" s="72"/>
      <c r="E83" s="72"/>
      <c r="F83" s="74"/>
      <c r="G83" s="74"/>
      <c r="H83" s="73"/>
      <c r="I83" s="73"/>
      <c r="J83" s="73"/>
      <c r="K83" s="79"/>
      <c r="L83" s="79"/>
      <c r="M83" s="79"/>
      <c r="N83" s="8"/>
      <c r="O83" s="8"/>
      <c r="P83" s="8"/>
      <c r="Q83" s="8"/>
      <c r="R83" s="8"/>
      <c r="S83" s="8"/>
      <c r="T83" s="8"/>
      <c r="U83" s="8"/>
    </row>
    <row r="84" spans="1:29" ht="15.6" x14ac:dyDescent="0.3">
      <c r="B84" s="109"/>
      <c r="C84" s="72"/>
      <c r="D84" s="462" t="s">
        <v>364</v>
      </c>
      <c r="E84" s="72"/>
      <c r="F84" s="478"/>
      <c r="G84" s="478"/>
      <c r="H84" s="475"/>
      <c r="I84" s="475"/>
      <c r="J84" s="478"/>
      <c r="K84" s="478"/>
      <c r="L84" s="79"/>
      <c r="M84" s="79"/>
    </row>
    <row r="85" spans="1:29" x14ac:dyDescent="0.25">
      <c r="B85" s="214" t="s">
        <v>357</v>
      </c>
      <c r="C85" s="72"/>
      <c r="D85" s="72"/>
      <c r="E85" s="72"/>
      <c r="F85" s="74"/>
      <c r="G85" s="74"/>
      <c r="H85" s="73"/>
      <c r="I85" s="73"/>
      <c r="J85" s="79"/>
      <c r="K85" s="79"/>
      <c r="L85" s="79"/>
      <c r="M85" s="79"/>
    </row>
    <row r="86" spans="1:29" ht="13.8" thickBot="1" x14ac:dyDescent="0.3">
      <c r="B86" s="214"/>
      <c r="C86" s="72"/>
      <c r="D86" s="72"/>
      <c r="E86" s="72"/>
      <c r="F86" s="74"/>
      <c r="G86" s="74"/>
      <c r="H86" s="73"/>
      <c r="I86" s="73"/>
      <c r="J86" s="79"/>
      <c r="K86" s="79"/>
      <c r="L86" s="79"/>
      <c r="M86" s="79"/>
    </row>
    <row r="87" spans="1:29" ht="13.8" thickBot="1" x14ac:dyDescent="0.3">
      <c r="B87" s="72"/>
      <c r="C87" s="72" t="s">
        <v>77</v>
      </c>
      <c r="D87" s="79"/>
      <c r="E87" s="72"/>
      <c r="F87" s="119">
        <v>0.8</v>
      </c>
      <c r="G87" s="74" t="s">
        <v>20</v>
      </c>
      <c r="H87" s="99">
        <v>15.32</v>
      </c>
      <c r="I87" s="73" t="s">
        <v>5</v>
      </c>
      <c r="J87" s="568">
        <f t="shared" ref="J87:J91" si="7">F87*H87</f>
        <v>12.256</v>
      </c>
      <c r="K87" s="72" t="s">
        <v>14</v>
      </c>
      <c r="L87" s="79"/>
      <c r="M87" s="79"/>
    </row>
    <row r="88" spans="1:29" ht="13.8" thickBot="1" x14ac:dyDescent="0.3">
      <c r="B88" s="72"/>
      <c r="C88" s="72" t="s">
        <v>78</v>
      </c>
      <c r="D88" s="72"/>
      <c r="E88" s="72"/>
      <c r="F88" s="119">
        <v>7.5</v>
      </c>
      <c r="G88" s="74" t="s">
        <v>62</v>
      </c>
      <c r="H88" s="99">
        <v>2.15</v>
      </c>
      <c r="I88" s="73" t="s">
        <v>63</v>
      </c>
      <c r="J88" s="568">
        <f t="shared" si="7"/>
        <v>16.125</v>
      </c>
      <c r="K88" s="72" t="s">
        <v>14</v>
      </c>
      <c r="L88" s="79"/>
      <c r="M88" s="79"/>
    </row>
    <row r="89" spans="1:29" ht="13.8" thickBot="1" x14ac:dyDescent="0.3">
      <c r="B89" s="72"/>
      <c r="C89" s="72" t="s">
        <v>79</v>
      </c>
      <c r="D89" s="72"/>
      <c r="E89" s="72"/>
      <c r="F89" s="119">
        <v>0.3</v>
      </c>
      <c r="G89" s="74" t="s">
        <v>62</v>
      </c>
      <c r="H89" s="99">
        <v>42.34</v>
      </c>
      <c r="I89" s="73" t="s">
        <v>5</v>
      </c>
      <c r="J89" s="568">
        <f t="shared" si="7"/>
        <v>12.702</v>
      </c>
      <c r="K89" s="72" t="s">
        <v>14</v>
      </c>
      <c r="L89" s="79"/>
      <c r="M89" s="79"/>
    </row>
    <row r="90" spans="1:29" ht="13.8" thickBot="1" x14ac:dyDescent="0.3">
      <c r="B90" s="72"/>
      <c r="C90" s="72" t="s">
        <v>326</v>
      </c>
      <c r="D90" s="72"/>
      <c r="E90" s="72"/>
      <c r="F90" s="119"/>
      <c r="G90" s="74" t="s">
        <v>20</v>
      </c>
      <c r="H90" s="99"/>
      <c r="I90" s="73" t="s">
        <v>5</v>
      </c>
      <c r="J90" s="568">
        <f t="shared" si="7"/>
        <v>0</v>
      </c>
      <c r="K90" s="72" t="s">
        <v>14</v>
      </c>
      <c r="L90" s="79"/>
      <c r="M90" s="79"/>
    </row>
    <row r="91" spans="1:29" ht="13.8" thickBot="1" x14ac:dyDescent="0.3">
      <c r="B91" s="72"/>
      <c r="C91" s="72" t="s">
        <v>326</v>
      </c>
      <c r="D91" s="72"/>
      <c r="E91" s="72"/>
      <c r="F91" s="119"/>
      <c r="G91" s="74" t="s">
        <v>20</v>
      </c>
      <c r="H91" s="99"/>
      <c r="I91" s="73" t="s">
        <v>5</v>
      </c>
      <c r="J91" s="568">
        <f t="shared" si="7"/>
        <v>0</v>
      </c>
      <c r="K91" s="72" t="s">
        <v>14</v>
      </c>
      <c r="L91" s="79"/>
      <c r="M91" s="79"/>
    </row>
    <row r="92" spans="1:29" x14ac:dyDescent="0.25">
      <c r="B92" s="72"/>
      <c r="C92" s="72"/>
      <c r="D92" s="72"/>
      <c r="E92" s="72"/>
      <c r="F92" s="212"/>
      <c r="G92" s="74"/>
      <c r="H92" s="213"/>
      <c r="I92" s="73"/>
      <c r="J92" s="79"/>
      <c r="K92" s="72"/>
      <c r="L92" s="79"/>
      <c r="M92" s="79"/>
    </row>
    <row r="93" spans="1:29" ht="13.8" thickBot="1" x14ac:dyDescent="0.3">
      <c r="B93" s="214" t="s">
        <v>358</v>
      </c>
      <c r="C93" s="72"/>
      <c r="D93" s="72"/>
      <c r="E93" s="72"/>
      <c r="F93" s="212"/>
      <c r="G93" s="74"/>
      <c r="H93" s="213"/>
      <c r="I93" s="73"/>
      <c r="J93" s="79"/>
      <c r="K93" s="72"/>
      <c r="L93" s="79"/>
      <c r="M93" s="79"/>
    </row>
    <row r="94" spans="1:29" ht="13.8" thickBot="1" x14ac:dyDescent="0.3">
      <c r="B94" s="72"/>
      <c r="C94" s="72" t="s">
        <v>326</v>
      </c>
      <c r="D94" s="72"/>
      <c r="E94" s="72"/>
      <c r="F94" s="119"/>
      <c r="G94" s="74" t="s">
        <v>20</v>
      </c>
      <c r="H94" s="119"/>
      <c r="I94" s="73" t="s">
        <v>5</v>
      </c>
      <c r="J94" s="79">
        <f t="shared" ref="J94:J96" si="8">F94*H94</f>
        <v>0</v>
      </c>
      <c r="K94" s="72" t="s">
        <v>14</v>
      </c>
      <c r="L94" s="79"/>
      <c r="M94" s="79"/>
    </row>
    <row r="95" spans="1:29" ht="13.8" thickBot="1" x14ac:dyDescent="0.3">
      <c r="B95" s="72"/>
      <c r="C95" s="72" t="s">
        <v>326</v>
      </c>
      <c r="D95" s="72"/>
      <c r="E95" s="72"/>
      <c r="F95" s="119"/>
      <c r="G95" s="74" t="s">
        <v>20</v>
      </c>
      <c r="H95" s="119"/>
      <c r="I95" s="73" t="s">
        <v>5</v>
      </c>
      <c r="J95" s="79">
        <f t="shared" si="8"/>
        <v>0</v>
      </c>
      <c r="K95" s="72" t="s">
        <v>14</v>
      </c>
      <c r="L95" s="79"/>
      <c r="M95" s="79"/>
      <c r="AB95" s="8"/>
      <c r="AC95" s="8"/>
    </row>
    <row r="96" spans="1:29" ht="13.8" thickBot="1" x14ac:dyDescent="0.3">
      <c r="B96" s="72"/>
      <c r="C96" s="72" t="s">
        <v>326</v>
      </c>
      <c r="D96" s="72"/>
      <c r="E96" s="72"/>
      <c r="F96" s="119"/>
      <c r="G96" s="74" t="s">
        <v>20</v>
      </c>
      <c r="H96" s="119"/>
      <c r="I96" s="73" t="s">
        <v>5</v>
      </c>
      <c r="J96" s="79">
        <f t="shared" si="8"/>
        <v>0</v>
      </c>
      <c r="K96" s="72" t="s">
        <v>14</v>
      </c>
      <c r="L96" s="79"/>
      <c r="M96" s="79"/>
    </row>
    <row r="97" spans="1:29" s="8" customFormat="1" x14ac:dyDescent="0.25">
      <c r="A97" s="671"/>
      <c r="B97" s="241"/>
      <c r="C97" s="241" t="s">
        <v>196</v>
      </c>
      <c r="D97" s="241"/>
      <c r="E97" s="241"/>
      <c r="F97" s="273"/>
      <c r="G97" s="242"/>
      <c r="H97" s="273"/>
      <c r="I97" s="243"/>
      <c r="J97" s="243">
        <f>SUM(J87:J96)</f>
        <v>41.082999999999998</v>
      </c>
      <c r="K97" s="241" t="s">
        <v>14</v>
      </c>
      <c r="L97" s="241"/>
      <c r="M97" s="241"/>
      <c r="AB97"/>
      <c r="AC97"/>
    </row>
    <row r="98" spans="1:29" x14ac:dyDescent="0.25">
      <c r="B98" s="72"/>
      <c r="C98" s="72"/>
      <c r="D98" s="72"/>
      <c r="E98" s="72"/>
      <c r="F98" s="74"/>
      <c r="G98" s="74"/>
      <c r="H98" s="73"/>
      <c r="I98" s="73"/>
      <c r="J98" s="79"/>
      <c r="K98" s="72"/>
      <c r="L98" s="79"/>
      <c r="M98" s="79"/>
    </row>
    <row r="99" spans="1:29" x14ac:dyDescent="0.25">
      <c r="A99" s="676"/>
      <c r="N99" s="5"/>
      <c r="O99" s="5"/>
    </row>
    <row r="100" spans="1:29" ht="15.6" x14ac:dyDescent="0.3">
      <c r="A100" s="676"/>
      <c r="B100" s="219" t="s">
        <v>293</v>
      </c>
      <c r="C100" s="220"/>
      <c r="D100" s="220"/>
      <c r="E100" s="220"/>
      <c r="F100" s="964" t="s">
        <v>159</v>
      </c>
      <c r="G100" s="964"/>
      <c r="H100" s="964" t="s">
        <v>158</v>
      </c>
      <c r="I100" s="964"/>
      <c r="J100" s="964" t="s">
        <v>324</v>
      </c>
      <c r="K100" s="964"/>
      <c r="L100" s="222"/>
      <c r="M100" s="222"/>
      <c r="N100" s="5"/>
    </row>
    <row r="101" spans="1:29" ht="13.8" thickBot="1" x14ac:dyDescent="0.3">
      <c r="A101" s="676"/>
      <c r="B101" s="220"/>
      <c r="C101" s="220"/>
      <c r="D101" s="220"/>
      <c r="E101" s="220"/>
      <c r="F101" s="220"/>
      <c r="G101" s="220"/>
      <c r="H101" s="221"/>
      <c r="I101" s="221"/>
      <c r="J101" s="222"/>
      <c r="K101" s="222"/>
      <c r="L101" s="222"/>
      <c r="M101" s="222"/>
      <c r="N101" s="5"/>
    </row>
    <row r="102" spans="1:29" ht="13.8" thickBot="1" x14ac:dyDescent="0.3">
      <c r="A102" s="676"/>
      <c r="B102" s="220"/>
      <c r="C102" s="220" t="s">
        <v>632</v>
      </c>
      <c r="D102" s="222"/>
      <c r="E102" s="220"/>
      <c r="F102" s="96">
        <v>1</v>
      </c>
      <c r="G102" s="220" t="s">
        <v>0</v>
      </c>
      <c r="H102" s="99">
        <v>80</v>
      </c>
      <c r="I102" s="221" t="s">
        <v>14</v>
      </c>
      <c r="J102" s="223">
        <f t="shared" ref="J102:J105" si="9">F102*H102</f>
        <v>80</v>
      </c>
      <c r="K102" s="220" t="s">
        <v>14</v>
      </c>
      <c r="L102" s="222"/>
      <c r="M102" s="222"/>
      <c r="N102" s="5"/>
    </row>
    <row r="103" spans="1:29" ht="13.8" thickBot="1" x14ac:dyDescent="0.3">
      <c r="A103" s="676"/>
      <c r="B103" s="220"/>
      <c r="C103" s="220" t="s">
        <v>633</v>
      </c>
      <c r="D103" s="222"/>
      <c r="E103" s="220"/>
      <c r="F103" s="98">
        <v>1</v>
      </c>
      <c r="G103" s="220" t="s">
        <v>0</v>
      </c>
      <c r="H103" s="98">
        <f>45*7</f>
        <v>315</v>
      </c>
      <c r="I103" s="221" t="s">
        <v>14</v>
      </c>
      <c r="J103" s="223">
        <f t="shared" si="9"/>
        <v>315</v>
      </c>
      <c r="K103" s="220" t="s">
        <v>14</v>
      </c>
      <c r="L103" s="222"/>
      <c r="M103" s="222"/>
      <c r="N103" s="5"/>
    </row>
    <row r="104" spans="1:29" ht="13.8" thickBot="1" x14ac:dyDescent="0.3">
      <c r="B104" s="220"/>
      <c r="C104" s="220" t="s">
        <v>294</v>
      </c>
      <c r="D104" s="220"/>
      <c r="E104" s="220"/>
      <c r="F104" s="96"/>
      <c r="G104" s="220" t="s">
        <v>0</v>
      </c>
      <c r="H104" s="99"/>
      <c r="I104" s="221" t="s">
        <v>14</v>
      </c>
      <c r="J104" s="223">
        <f t="shared" si="9"/>
        <v>0</v>
      </c>
      <c r="K104" s="220" t="s">
        <v>14</v>
      </c>
      <c r="L104" s="222"/>
      <c r="M104" s="222"/>
      <c r="AB104" s="8"/>
      <c r="AC104" s="8"/>
    </row>
    <row r="105" spans="1:29" ht="13.8" thickBot="1" x14ac:dyDescent="0.3">
      <c r="B105" s="220"/>
      <c r="C105" s="220" t="s">
        <v>294</v>
      </c>
      <c r="D105" s="220"/>
      <c r="E105" s="220"/>
      <c r="F105" s="96"/>
      <c r="G105" s="220" t="s">
        <v>0</v>
      </c>
      <c r="H105" s="99"/>
      <c r="I105" s="221" t="s">
        <v>14</v>
      </c>
      <c r="J105" s="223">
        <f t="shared" si="9"/>
        <v>0</v>
      </c>
      <c r="K105" s="220" t="s">
        <v>14</v>
      </c>
      <c r="L105" s="222"/>
      <c r="M105" s="222"/>
    </row>
    <row r="106" spans="1:29" s="8" customFormat="1" x14ac:dyDescent="0.25">
      <c r="A106" s="671"/>
      <c r="B106" s="255"/>
      <c r="C106" s="255" t="s">
        <v>196</v>
      </c>
      <c r="D106" s="255"/>
      <c r="E106" s="255"/>
      <c r="F106" s="256"/>
      <c r="G106" s="255"/>
      <c r="H106" s="257"/>
      <c r="I106" s="258"/>
      <c r="J106" s="259">
        <f>SUM(J102:J105)</f>
        <v>395</v>
      </c>
      <c r="K106" s="255" t="s">
        <v>14</v>
      </c>
      <c r="L106" s="255"/>
      <c r="M106" s="255"/>
      <c r="N106"/>
      <c r="O106"/>
      <c r="P106"/>
      <c r="Q106"/>
      <c r="R106"/>
      <c r="S106"/>
      <c r="T106"/>
      <c r="U106"/>
      <c r="AB106"/>
      <c r="AC106"/>
    </row>
    <row r="107" spans="1:29" x14ac:dyDescent="0.25">
      <c r="B107" s="220"/>
      <c r="C107" s="220"/>
      <c r="D107" s="220"/>
      <c r="E107" s="220"/>
      <c r="F107" s="220"/>
      <c r="G107" s="220"/>
      <c r="H107" s="221"/>
      <c r="I107" s="221"/>
      <c r="J107" s="223"/>
      <c r="K107" s="220"/>
      <c r="L107" s="222"/>
      <c r="M107" s="222"/>
    </row>
    <row r="108" spans="1:29" ht="30" customHeight="1" x14ac:dyDescent="0.25">
      <c r="N108" s="8"/>
      <c r="O108" s="8"/>
      <c r="P108" s="8"/>
      <c r="Q108" s="8"/>
      <c r="R108" s="8"/>
      <c r="S108" s="8"/>
      <c r="T108" s="8"/>
      <c r="U108" s="8"/>
    </row>
    <row r="109" spans="1:29" ht="15.6" x14ac:dyDescent="0.3">
      <c r="B109" s="225" t="s">
        <v>637</v>
      </c>
      <c r="C109" s="226"/>
      <c r="D109" s="226"/>
      <c r="E109" s="227"/>
      <c r="F109" s="226" t="s">
        <v>159</v>
      </c>
      <c r="G109" s="228"/>
      <c r="H109" s="228" t="s">
        <v>158</v>
      </c>
      <c r="I109" s="226"/>
      <c r="J109" s="226" t="s">
        <v>324</v>
      </c>
      <c r="K109" s="229"/>
      <c r="L109" s="229"/>
      <c r="M109" s="229"/>
    </row>
    <row r="110" spans="1:29" ht="16.2" thickBot="1" x14ac:dyDescent="0.35">
      <c r="B110" s="225"/>
      <c r="C110" s="226"/>
      <c r="D110" s="226"/>
      <c r="E110" s="227"/>
      <c r="F110" s="226"/>
      <c r="G110" s="228"/>
      <c r="H110" s="228"/>
      <c r="I110" s="226"/>
      <c r="J110" s="226"/>
      <c r="K110" s="229"/>
      <c r="L110" s="229"/>
      <c r="M110" s="229"/>
    </row>
    <row r="111" spans="1:29" ht="13.8" thickBot="1" x14ac:dyDescent="0.3">
      <c r="B111" s="226"/>
      <c r="C111" s="226" t="s">
        <v>296</v>
      </c>
      <c r="D111" s="229"/>
      <c r="E111" s="230"/>
      <c r="F111" s="96"/>
      <c r="G111" s="231" t="s">
        <v>18</v>
      </c>
      <c r="H111" s="96"/>
      <c r="I111" s="232" t="s">
        <v>10</v>
      </c>
      <c r="J111" s="229">
        <f>H111*F111</f>
        <v>0</v>
      </c>
      <c r="K111" s="232" t="s">
        <v>14</v>
      </c>
      <c r="L111" s="229"/>
      <c r="M111" s="229"/>
    </row>
    <row r="112" spans="1:29" ht="13.8" thickBot="1" x14ac:dyDescent="0.3">
      <c r="B112" s="226"/>
      <c r="C112" s="226" t="s">
        <v>450</v>
      </c>
      <c r="D112" s="232">
        <f>F134/2</f>
        <v>4.5</v>
      </c>
      <c r="E112" s="226" t="s">
        <v>9</v>
      </c>
      <c r="F112" s="96">
        <f>+D112*8</f>
        <v>36</v>
      </c>
      <c r="G112" s="228" t="s">
        <v>20</v>
      </c>
      <c r="H112" s="96">
        <v>0.83</v>
      </c>
      <c r="I112" s="232" t="s">
        <v>5</v>
      </c>
      <c r="J112" s="229">
        <f>H112*F112</f>
        <v>29.88</v>
      </c>
      <c r="K112" s="232" t="s">
        <v>14</v>
      </c>
      <c r="L112" s="229"/>
      <c r="M112" s="229"/>
    </row>
    <row r="113" spans="1:29" ht="13.8" thickBot="1" x14ac:dyDescent="0.3">
      <c r="B113" s="226"/>
      <c r="C113" s="226" t="s">
        <v>298</v>
      </c>
      <c r="D113" s="232">
        <f>D112</f>
        <v>4.5</v>
      </c>
      <c r="E113" s="226" t="s">
        <v>9</v>
      </c>
      <c r="F113" s="96">
        <v>11.88</v>
      </c>
      <c r="G113" s="228" t="s">
        <v>21</v>
      </c>
      <c r="H113" s="96">
        <v>4</v>
      </c>
      <c r="I113" s="232" t="s">
        <v>6</v>
      </c>
      <c r="J113" s="229">
        <f t="shared" ref="J113:J117" si="10">H113*F113</f>
        <v>47.52</v>
      </c>
      <c r="K113" s="232" t="s">
        <v>14</v>
      </c>
      <c r="L113" s="229"/>
      <c r="M113" s="229"/>
    </row>
    <row r="114" spans="1:29" ht="13.8" thickBot="1" x14ac:dyDescent="0.3">
      <c r="B114" s="226"/>
      <c r="C114" s="226" t="s">
        <v>19</v>
      </c>
      <c r="D114" s="229"/>
      <c r="E114" s="232"/>
      <c r="F114" s="96"/>
      <c r="G114" s="228" t="s">
        <v>20</v>
      </c>
      <c r="H114" s="96"/>
      <c r="I114" s="232" t="s">
        <v>5</v>
      </c>
      <c r="J114" s="229">
        <f t="shared" si="10"/>
        <v>0</v>
      </c>
      <c r="K114" s="232" t="s">
        <v>14</v>
      </c>
      <c r="L114" s="229"/>
      <c r="M114" s="229"/>
    </row>
    <row r="115" spans="1:29" ht="13.8" thickBot="1" x14ac:dyDescent="0.3">
      <c r="B115" s="226"/>
      <c r="C115" s="226" t="s">
        <v>300</v>
      </c>
      <c r="D115" s="229"/>
      <c r="E115" s="232"/>
      <c r="F115" s="96"/>
      <c r="G115" s="228" t="s">
        <v>20</v>
      </c>
      <c r="H115" s="96"/>
      <c r="I115" s="232" t="s">
        <v>5</v>
      </c>
      <c r="J115" s="229">
        <f t="shared" si="10"/>
        <v>0</v>
      </c>
      <c r="K115" s="232" t="s">
        <v>14</v>
      </c>
      <c r="L115" s="229"/>
      <c r="M115" s="229"/>
    </row>
    <row r="116" spans="1:29" ht="13.8" thickBot="1" x14ac:dyDescent="0.3">
      <c r="B116" s="226"/>
      <c r="C116" s="226" t="s">
        <v>300</v>
      </c>
      <c r="D116" s="229"/>
      <c r="E116" s="232"/>
      <c r="F116" s="96"/>
      <c r="G116" s="228"/>
      <c r="H116" s="96"/>
      <c r="I116" s="232"/>
      <c r="J116" s="229">
        <f t="shared" si="10"/>
        <v>0</v>
      </c>
      <c r="K116" s="232" t="s">
        <v>14</v>
      </c>
      <c r="L116" s="229"/>
      <c r="M116" s="229"/>
      <c r="AB116" s="8"/>
      <c r="AC116" s="8"/>
    </row>
    <row r="117" spans="1:29" ht="13.8" thickBot="1" x14ac:dyDescent="0.3">
      <c r="B117" s="229"/>
      <c r="C117" s="226" t="s">
        <v>300</v>
      </c>
      <c r="D117" s="229"/>
      <c r="E117" s="229"/>
      <c r="F117" s="96"/>
      <c r="G117" s="229"/>
      <c r="H117" s="96"/>
      <c r="I117" s="229"/>
      <c r="J117" s="229">
        <f t="shared" si="10"/>
        <v>0</v>
      </c>
      <c r="K117" s="232" t="s">
        <v>14</v>
      </c>
      <c r="L117" s="229"/>
      <c r="M117" s="229"/>
    </row>
    <row r="118" spans="1:29" s="8" customFormat="1" x14ac:dyDescent="0.25">
      <c r="A118" s="671"/>
      <c r="B118" s="260"/>
      <c r="C118" s="260" t="s">
        <v>196</v>
      </c>
      <c r="D118" s="260"/>
      <c r="E118" s="260"/>
      <c r="F118" s="261"/>
      <c r="G118" s="260"/>
      <c r="H118" s="261"/>
      <c r="I118" s="260"/>
      <c r="J118" s="260">
        <f>SUM(J111:J117)</f>
        <v>77.400000000000006</v>
      </c>
      <c r="K118" s="262" t="s">
        <v>14</v>
      </c>
      <c r="L118" s="260"/>
      <c r="M118" s="260"/>
      <c r="AB118"/>
      <c r="AC118"/>
    </row>
    <row r="119" spans="1:29" x14ac:dyDescent="0.25">
      <c r="B119" s="229"/>
      <c r="C119" s="229"/>
      <c r="D119" s="229"/>
      <c r="E119" s="229"/>
      <c r="F119" s="229"/>
      <c r="G119" s="229"/>
      <c r="H119" s="229"/>
      <c r="I119" s="229"/>
      <c r="J119" s="229"/>
      <c r="K119" s="229"/>
      <c r="L119" s="229"/>
      <c r="M119" s="229"/>
    </row>
    <row r="121" spans="1:29" ht="15.6" x14ac:dyDescent="0.3">
      <c r="B121" s="112" t="s">
        <v>634</v>
      </c>
      <c r="C121" s="101"/>
      <c r="D121" s="101"/>
      <c r="E121" s="101"/>
      <c r="F121" s="101"/>
      <c r="G121" s="101"/>
      <c r="H121" s="101"/>
      <c r="I121" s="101"/>
      <c r="J121" s="101"/>
      <c r="K121" s="101"/>
      <c r="L121" s="101"/>
      <c r="M121" s="101"/>
    </row>
    <row r="122" spans="1:29" ht="15.6" x14ac:dyDescent="0.3">
      <c r="B122" s="112"/>
      <c r="C122" s="101"/>
      <c r="D122" s="101"/>
      <c r="E122" s="101"/>
      <c r="F122" s="101"/>
      <c r="G122" s="101"/>
      <c r="H122" s="101"/>
      <c r="I122" s="101"/>
      <c r="J122" s="101"/>
      <c r="K122" s="101"/>
      <c r="L122" s="101"/>
      <c r="M122" s="101"/>
      <c r="AB122" s="8"/>
      <c r="AC122" s="8"/>
    </row>
    <row r="123" spans="1:29" ht="15" customHeight="1" x14ac:dyDescent="0.25">
      <c r="B123" s="961" t="s">
        <v>302</v>
      </c>
      <c r="C123" s="961"/>
      <c r="D123" s="961"/>
      <c r="E123" s="961"/>
      <c r="F123" s="961"/>
      <c r="G123" s="961"/>
      <c r="H123" s="961"/>
      <c r="I123" s="961"/>
      <c r="J123" s="961"/>
      <c r="K123" s="961"/>
      <c r="L123" s="961"/>
      <c r="M123" s="961"/>
    </row>
    <row r="124" spans="1:29" s="8" customFormat="1" ht="15.6" x14ac:dyDescent="0.3">
      <c r="A124" s="671"/>
      <c r="B124" s="112"/>
      <c r="C124" s="101"/>
      <c r="D124" s="101"/>
      <c r="E124" s="473"/>
      <c r="F124" s="473"/>
      <c r="G124" s="473"/>
      <c r="H124" s="474"/>
      <c r="I124" s="474"/>
      <c r="J124" s="473"/>
      <c r="K124" s="473"/>
      <c r="L124" s="474"/>
      <c r="M124" s="474"/>
      <c r="N124"/>
      <c r="O124"/>
      <c r="P124"/>
      <c r="Q124"/>
      <c r="R124"/>
      <c r="S124"/>
      <c r="T124"/>
      <c r="U124"/>
      <c r="AB124"/>
      <c r="AC124"/>
    </row>
    <row r="125" spans="1:29" ht="15.6" x14ac:dyDescent="0.3">
      <c r="B125" s="112"/>
      <c r="C125" s="101"/>
      <c r="D125" s="101"/>
      <c r="E125" s="962" t="s">
        <v>303</v>
      </c>
      <c r="F125" s="962"/>
      <c r="G125" s="962"/>
      <c r="H125" s="963" t="s">
        <v>158</v>
      </c>
      <c r="I125" s="963"/>
      <c r="J125" s="963" t="s">
        <v>304</v>
      </c>
      <c r="K125" s="963"/>
      <c r="L125" s="963" t="s">
        <v>158</v>
      </c>
      <c r="M125" s="963"/>
    </row>
    <row r="126" spans="1:29" ht="33" customHeight="1" thickBot="1" x14ac:dyDescent="0.3">
      <c r="B126" s="100"/>
      <c r="C126" s="101"/>
      <c r="D126" s="101"/>
      <c r="E126" s="101"/>
      <c r="F126" s="101"/>
      <c r="G126" s="101"/>
      <c r="H126" s="101"/>
      <c r="I126" s="101"/>
      <c r="J126" s="101"/>
      <c r="K126" s="101"/>
      <c r="L126" s="101"/>
      <c r="M126" s="101"/>
      <c r="N126" s="8"/>
      <c r="O126" s="8"/>
      <c r="P126" s="8"/>
      <c r="Q126" s="8"/>
      <c r="R126" s="8"/>
      <c r="S126" s="8"/>
      <c r="T126" s="8"/>
      <c r="U126" s="8"/>
    </row>
    <row r="127" spans="1:29" ht="13.8" thickBot="1" x14ac:dyDescent="0.3">
      <c r="B127" s="101"/>
      <c r="C127" s="102" t="s">
        <v>307</v>
      </c>
      <c r="D127" s="101"/>
      <c r="E127" s="101"/>
      <c r="F127" s="115">
        <v>2</v>
      </c>
      <c r="G127" s="104" t="s">
        <v>22</v>
      </c>
      <c r="H127" s="117">
        <v>14.5</v>
      </c>
      <c r="I127" s="104" t="s">
        <v>11</v>
      </c>
      <c r="J127" s="116"/>
      <c r="K127" s="104" t="s">
        <v>22</v>
      </c>
      <c r="L127" s="117">
        <v>14.5</v>
      </c>
      <c r="M127" s="104" t="s">
        <v>11</v>
      </c>
    </row>
    <row r="128" spans="1:29" ht="13.8" thickBot="1" x14ac:dyDescent="0.3">
      <c r="B128" s="101"/>
      <c r="C128" s="102" t="s">
        <v>635</v>
      </c>
      <c r="D128" s="101"/>
      <c r="E128" s="101"/>
      <c r="F128" s="115">
        <v>3</v>
      </c>
      <c r="G128" s="104" t="s">
        <v>22</v>
      </c>
      <c r="H128" s="114">
        <f t="shared" ref="H128:H133" si="11">$H$127</f>
        <v>14.5</v>
      </c>
      <c r="I128" s="104" t="s">
        <v>11</v>
      </c>
      <c r="J128" s="116"/>
      <c r="K128" s="104" t="s">
        <v>22</v>
      </c>
      <c r="L128" s="114">
        <f t="shared" ref="L128:L133" si="12">$L$127</f>
        <v>14.5</v>
      </c>
      <c r="M128" s="104" t="s">
        <v>11</v>
      </c>
    </row>
    <row r="129" spans="2:21" ht="13.8" thickBot="1" x14ac:dyDescent="0.3">
      <c r="B129" s="101"/>
      <c r="C129" s="102" t="s">
        <v>311</v>
      </c>
      <c r="D129" s="101"/>
      <c r="E129" s="101"/>
      <c r="F129" s="115">
        <v>2</v>
      </c>
      <c r="G129" s="104" t="s">
        <v>22</v>
      </c>
      <c r="H129" s="114">
        <f t="shared" si="11"/>
        <v>14.5</v>
      </c>
      <c r="I129" s="104" t="s">
        <v>11</v>
      </c>
      <c r="J129" s="116"/>
      <c r="K129" s="104" t="s">
        <v>22</v>
      </c>
      <c r="L129" s="114">
        <f t="shared" si="12"/>
        <v>14.5</v>
      </c>
      <c r="M129" s="104" t="s">
        <v>11</v>
      </c>
    </row>
    <row r="130" spans="2:21" ht="13.8" thickBot="1" x14ac:dyDescent="0.3">
      <c r="B130" s="101"/>
      <c r="C130" s="102" t="s">
        <v>636</v>
      </c>
      <c r="D130" s="101"/>
      <c r="E130" s="101"/>
      <c r="F130" s="115">
        <v>2</v>
      </c>
      <c r="G130" s="104" t="s">
        <v>22</v>
      </c>
      <c r="H130" s="114">
        <f t="shared" si="11"/>
        <v>14.5</v>
      </c>
      <c r="I130" s="104" t="s">
        <v>11</v>
      </c>
      <c r="J130" s="116"/>
      <c r="K130" s="104" t="s">
        <v>22</v>
      </c>
      <c r="L130" s="114">
        <f t="shared" si="12"/>
        <v>14.5</v>
      </c>
      <c r="M130" s="104" t="s">
        <v>11</v>
      </c>
    </row>
    <row r="131" spans="2:21" ht="13.8" thickBot="1" x14ac:dyDescent="0.3">
      <c r="B131" s="101"/>
      <c r="C131" s="102" t="s">
        <v>431</v>
      </c>
      <c r="D131" s="101"/>
      <c r="E131" s="101"/>
      <c r="F131" s="116"/>
      <c r="G131" s="104" t="s">
        <v>22</v>
      </c>
      <c r="H131" s="114">
        <f t="shared" si="11"/>
        <v>14.5</v>
      </c>
      <c r="I131" s="104" t="s">
        <v>11</v>
      </c>
      <c r="J131" s="97"/>
      <c r="K131" s="104" t="s">
        <v>22</v>
      </c>
      <c r="L131" s="114">
        <f t="shared" si="12"/>
        <v>14.5</v>
      </c>
      <c r="M131" s="104" t="s">
        <v>11</v>
      </c>
    </row>
    <row r="132" spans="2:21" ht="13.8" thickBot="1" x14ac:dyDescent="0.3">
      <c r="B132" s="101"/>
      <c r="C132" s="102" t="s">
        <v>431</v>
      </c>
      <c r="D132" s="101"/>
      <c r="E132" s="101"/>
      <c r="F132" s="116"/>
      <c r="G132" s="104" t="s">
        <v>22</v>
      </c>
      <c r="H132" s="114">
        <f t="shared" si="11"/>
        <v>14.5</v>
      </c>
      <c r="I132" s="104" t="s">
        <v>11</v>
      </c>
      <c r="J132" s="97"/>
      <c r="K132" s="104" t="s">
        <v>22</v>
      </c>
      <c r="L132" s="114">
        <f t="shared" si="12"/>
        <v>14.5</v>
      </c>
      <c r="M132" s="104" t="s">
        <v>11</v>
      </c>
    </row>
    <row r="133" spans="2:21" ht="13.8" thickBot="1" x14ac:dyDescent="0.3">
      <c r="B133" s="101"/>
      <c r="C133" s="102" t="s">
        <v>431</v>
      </c>
      <c r="D133" s="103"/>
      <c r="E133" s="103"/>
      <c r="F133" s="97"/>
      <c r="G133" s="104" t="s">
        <v>22</v>
      </c>
      <c r="H133" s="114">
        <f t="shared" si="11"/>
        <v>14.5</v>
      </c>
      <c r="I133" s="104" t="s">
        <v>11</v>
      </c>
      <c r="J133" s="97"/>
      <c r="K133" s="104" t="s">
        <v>22</v>
      </c>
      <c r="L133" s="114">
        <f t="shared" si="12"/>
        <v>14.5</v>
      </c>
      <c r="M133" s="104" t="s">
        <v>11</v>
      </c>
    </row>
    <row r="134" spans="2:21" x14ac:dyDescent="0.25">
      <c r="B134" s="264"/>
      <c r="C134" s="265" t="s">
        <v>196</v>
      </c>
      <c r="D134" s="266"/>
      <c r="E134" s="266"/>
      <c r="F134" s="267">
        <f>SUM(F127:F133)</f>
        <v>9</v>
      </c>
      <c r="G134" s="264" t="s">
        <v>22</v>
      </c>
      <c r="H134" s="268">
        <f>F134*H127</f>
        <v>130.5</v>
      </c>
      <c r="I134" s="264" t="s">
        <v>14</v>
      </c>
      <c r="J134" s="269">
        <f>SUM(J127:J133)</f>
        <v>0</v>
      </c>
      <c r="K134" s="264" t="s">
        <v>22</v>
      </c>
      <c r="L134" s="268">
        <f>J134*L127</f>
        <v>0</v>
      </c>
      <c r="M134" s="264" t="s">
        <v>14</v>
      </c>
    </row>
    <row r="136" spans="2:21" ht="40.049999999999997" customHeight="1" x14ac:dyDescent="0.25">
      <c r="N136" s="8"/>
      <c r="O136" s="8"/>
      <c r="P136" s="8"/>
      <c r="Q136" s="8"/>
      <c r="R136" s="8"/>
      <c r="S136" s="8"/>
      <c r="T136" s="8"/>
      <c r="U136" s="8"/>
    </row>
    <row r="139" spans="2:21" ht="37.950000000000003" customHeight="1" x14ac:dyDescent="0.25"/>
    <row r="149" spans="1:29" x14ac:dyDescent="0.25">
      <c r="AB149" s="8"/>
      <c r="AC149" s="8"/>
    </row>
    <row r="151" spans="1:29" s="8" customFormat="1" x14ac:dyDescent="0.25">
      <c r="A151" s="671"/>
      <c r="B151"/>
      <c r="C151"/>
      <c r="D151"/>
      <c r="E151"/>
      <c r="F151"/>
      <c r="G151"/>
      <c r="H151"/>
      <c r="I151"/>
      <c r="J151"/>
      <c r="K151"/>
      <c r="L151"/>
      <c r="M151"/>
      <c r="N151"/>
      <c r="O151"/>
      <c r="P151"/>
      <c r="Q151"/>
      <c r="R151"/>
      <c r="S151"/>
      <c r="T151"/>
      <c r="U151"/>
      <c r="AB151"/>
      <c r="AC151"/>
    </row>
    <row r="153" spans="1:29" x14ac:dyDescent="0.25">
      <c r="N153" s="8"/>
      <c r="O153" s="8"/>
      <c r="P153" s="8"/>
      <c r="Q153" s="8"/>
      <c r="R153" s="8"/>
      <c r="S153" s="8"/>
      <c r="T153" s="8"/>
      <c r="U153" s="8"/>
    </row>
  </sheetData>
  <mergeCells count="37">
    <mergeCell ref="B2:C2"/>
    <mergeCell ref="B4:L4"/>
    <mergeCell ref="B11:D11"/>
    <mergeCell ref="B55:D55"/>
    <mergeCell ref="B24:E24"/>
    <mergeCell ref="B25:E25"/>
    <mergeCell ref="B26:D26"/>
    <mergeCell ref="B29:C29"/>
    <mergeCell ref="C32:D32"/>
    <mergeCell ref="B36:D36"/>
    <mergeCell ref="C39:D39"/>
    <mergeCell ref="B43:D43"/>
    <mergeCell ref="C46:D46"/>
    <mergeCell ref="B50:C50"/>
    <mergeCell ref="C53:D53"/>
    <mergeCell ref="B60:D60"/>
    <mergeCell ref="B64:D64"/>
    <mergeCell ref="B67:E67"/>
    <mergeCell ref="L67:M67"/>
    <mergeCell ref="F69:G69"/>
    <mergeCell ref="H69:I69"/>
    <mergeCell ref="J69:K69"/>
    <mergeCell ref="B62:D62"/>
    <mergeCell ref="F75:G75"/>
    <mergeCell ref="H75:I75"/>
    <mergeCell ref="J75:K75"/>
    <mergeCell ref="F82:G82"/>
    <mergeCell ref="H82:I82"/>
    <mergeCell ref="J82:K82"/>
    <mergeCell ref="F100:G100"/>
    <mergeCell ref="H100:I100"/>
    <mergeCell ref="J100:K100"/>
    <mergeCell ref="B123:M123"/>
    <mergeCell ref="E125:G125"/>
    <mergeCell ref="H125:I125"/>
    <mergeCell ref="J125:K125"/>
    <mergeCell ref="L125:M125"/>
  </mergeCells>
  <hyperlinks>
    <hyperlink ref="L67" location="'Avomaan mansikka'!B2" display="PALAA SIVUN YLÄLAITAAN" xr:uid="{7943663F-64F1-3B43-9CC9-75B5FB74AD7E}"/>
    <hyperlink ref="L67:M67" location="Korn!A1" display="TILL SIDANS BÖRJAN" xr:uid="{EBEFCEB3-86A4-BB45-B2E0-9203B764750B}"/>
    <hyperlink ref="B2" location="Tilakokonaisuus!A1" display="PALAA ETUSIVULLE" xr:uid="{291822ED-B76F-4C0B-A502-B42E069273A8}"/>
    <hyperlink ref="B2:C2" location="'Gårdens info'!A1" display="TILL FRAMSIDAN" xr:uid="{5A004021-7159-4C5B-9ED4-B469363589B5}"/>
    <hyperlink ref="B24:E24" location="'Gårdens info'!B140" display="ALLMÄNNA KOSTNADER, kornets andel" xr:uid="{FBA24161-E0D3-44E4-B8BF-176649CB3985}"/>
    <hyperlink ref="B29:C29" location="Ägendom!B15" display="BYGGNADER" xr:uid="{EE797B69-D34A-45A3-8FB7-E81BAE9D6899}"/>
    <hyperlink ref="B36:D36" location="Ägendom!B28" display="MASINER OCH UTRUSTNING" xr:uid="{9F79761D-ABCB-4798-92AD-417BFC90A3DD}"/>
    <hyperlink ref="B43:D43" location="Ägendom!B51" display="LÅNGVARIGA PRODUKTIONSMEDEL" xr:uid="{AAD717A8-5F09-4915-9B5C-BB79DE5EBD2F}"/>
    <hyperlink ref="B50:C50" location="Ägendom!B70" display="TÄCKDIKEN" xr:uid="{F2E1E892-76E2-4242-B52C-F866609330E8}"/>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25AA3-FD79-974B-A6E4-9C25DDE26813}">
  <sheetPr>
    <tabColor theme="2" tint="-0.499984740745262"/>
  </sheetPr>
  <dimension ref="A1:AC153"/>
  <sheetViews>
    <sheetView workbookViewId="0">
      <selection activeCell="B2" sqref="B2:C2"/>
    </sheetView>
  </sheetViews>
  <sheetFormatPr defaultColWidth="11.44140625" defaultRowHeight="13.2" x14ac:dyDescent="0.25"/>
  <cols>
    <col min="1" max="1" width="5.33203125" style="662" customWidth="1"/>
    <col min="3" max="3" width="16.77734375" customWidth="1"/>
    <col min="4" max="4" width="22.6640625" customWidth="1"/>
    <col min="5" max="5" width="12.109375" bestFit="1" customWidth="1"/>
    <col min="6" max="6" width="20.6640625" bestFit="1" customWidth="1"/>
    <col min="7" max="7" width="6.33203125" customWidth="1"/>
    <col min="8" max="8" width="17.77734375" customWidth="1"/>
    <col min="9" max="9" width="6" customWidth="1"/>
    <col min="10" max="10" width="15.109375" customWidth="1"/>
    <col min="11" max="11" width="9.6640625" customWidth="1"/>
    <col min="12" max="12" width="20" customWidth="1"/>
    <col min="13" max="13" width="12.109375" customWidth="1"/>
    <col min="14" max="14" width="9.44140625" customWidth="1"/>
    <col min="15" max="15" width="6.77734375" customWidth="1"/>
    <col min="16" max="16" width="4.44140625" customWidth="1"/>
    <col min="17" max="17" width="15" customWidth="1"/>
    <col min="18" max="18" width="5.109375" customWidth="1"/>
    <col min="19" max="19" width="18.33203125" bestFit="1" customWidth="1"/>
    <col min="28" max="28" width="11.6640625" bestFit="1" customWidth="1"/>
    <col min="29" max="29" width="11" bestFit="1" customWidth="1"/>
  </cols>
  <sheetData>
    <row r="1" spans="1:13" s="662" customFormat="1" ht="22.8" x14ac:dyDescent="0.4">
      <c r="B1" s="669" t="s">
        <v>608</v>
      </c>
    </row>
    <row r="2" spans="1:13" ht="27" customHeight="1" x14ac:dyDescent="0.3">
      <c r="B2" s="976" t="s">
        <v>337</v>
      </c>
      <c r="C2" s="976"/>
      <c r="F2" s="91"/>
      <c r="G2" s="91"/>
      <c r="H2" s="91"/>
    </row>
    <row r="3" spans="1:13" ht="27" customHeight="1" x14ac:dyDescent="0.3">
      <c r="B3" s="479"/>
      <c r="C3" s="479"/>
    </row>
    <row r="4" spans="1:13" ht="69" customHeight="1" x14ac:dyDescent="0.3">
      <c r="B4" s="942" t="s">
        <v>236</v>
      </c>
      <c r="C4" s="942"/>
      <c r="D4" s="942"/>
      <c r="E4" s="942"/>
      <c r="F4" s="942"/>
      <c r="G4" s="942"/>
      <c r="H4" s="942"/>
      <c r="I4" s="942"/>
      <c r="J4" s="942"/>
      <c r="K4" s="942"/>
      <c r="L4" s="942"/>
    </row>
    <row r="5" spans="1:13" ht="27" customHeight="1" thickBot="1" x14ac:dyDescent="0.35">
      <c r="B5" s="479"/>
      <c r="C5" s="479"/>
    </row>
    <row r="6" spans="1:13" ht="27" customHeight="1" x14ac:dyDescent="0.4">
      <c r="B6" s="318" t="s">
        <v>627</v>
      </c>
      <c r="C6" s="282"/>
      <c r="D6" s="283"/>
      <c r="E6" s="283"/>
      <c r="F6" s="283"/>
      <c r="G6" s="283"/>
      <c r="H6" s="283"/>
      <c r="I6" s="283"/>
      <c r="J6" s="283"/>
      <c r="K6" s="283"/>
      <c r="L6" s="283"/>
      <c r="M6" s="284"/>
    </row>
    <row r="7" spans="1:13" ht="27" customHeight="1" x14ac:dyDescent="0.4">
      <c r="B7" s="285"/>
      <c r="C7" s="286"/>
      <c r="D7" s="148"/>
      <c r="E7" s="148"/>
      <c r="F7" s="148"/>
      <c r="G7" s="148"/>
      <c r="H7" s="148"/>
      <c r="I7" s="148"/>
      <c r="J7" s="148"/>
      <c r="K7" s="148"/>
      <c r="L7" s="148"/>
      <c r="M7" s="287"/>
    </row>
    <row r="8" spans="1:13" ht="21" x14ac:dyDescent="0.4">
      <c r="B8" s="319" t="s">
        <v>238</v>
      </c>
      <c r="C8" s="286"/>
      <c r="D8" s="148"/>
      <c r="E8" s="151"/>
      <c r="F8" s="151"/>
      <c r="G8" s="151"/>
      <c r="H8" s="151"/>
      <c r="I8" s="148"/>
      <c r="J8" s="148"/>
      <c r="K8" s="148"/>
      <c r="L8" s="148"/>
      <c r="M8" s="287"/>
    </row>
    <row r="9" spans="1:13" ht="21" customHeight="1" x14ac:dyDescent="0.25">
      <c r="B9" s="288"/>
      <c r="C9" s="289" t="s">
        <v>201</v>
      </c>
      <c r="D9" s="151"/>
      <c r="E9" s="151"/>
      <c r="F9" s="290">
        <f>H9*'Gårdens info'!G33</f>
        <v>0</v>
      </c>
      <c r="G9" s="151" t="s">
        <v>14</v>
      </c>
      <c r="H9" s="362">
        <f>0.315</f>
        <v>0.315</v>
      </c>
      <c r="I9" s="151" t="s">
        <v>6</v>
      </c>
      <c r="J9" s="290">
        <f>F9*'Gårdens info'!D33</f>
        <v>0</v>
      </c>
      <c r="K9" s="151" t="s">
        <v>649</v>
      </c>
      <c r="L9" s="151"/>
      <c r="M9" s="287"/>
    </row>
    <row r="10" spans="1:13" ht="15" x14ac:dyDescent="0.25">
      <c r="B10" s="288"/>
      <c r="C10" s="151" t="s">
        <v>224</v>
      </c>
      <c r="D10" s="151"/>
      <c r="E10" s="151"/>
      <c r="F10" s="290">
        <f>IF('Gårdens info'!D33&gt;0,Stöd!J6/'Gårdens info'!D37*Stöd!L6+Stöd!J7/'Gårdens info'!D37*Stöd!L7+Stöd!J8/'Gårdens info'!D37*Stöd!L8+Stöd!J12/'Gårdens info'!D37*Stöd!L12+Stöd!J13/'Gårdens info'!D37*Stöd!L13+Stöd!J15/'Gårdens info'!D37*Stöd!L15+Stöd!J16/'Gårdens info'!D37*Stöd!L16+Stöd!J18/'Gårdens info'!D37*Stöd!L18+Stöd!J19/'Gårdens info'!D37*Stöd!L19+Stöd!J20/'Gårdens info'!D37*Stöd!L20+Stöd!J21/'Gårdens info'!D37*Stöd!L21,0)</f>
        <v>0</v>
      </c>
      <c r="G10" s="151" t="s">
        <v>14</v>
      </c>
      <c r="H10" s="362">
        <f>IF('Gårdens info'!G33&gt;0,F10/'Gårdens info'!G33,0)</f>
        <v>0</v>
      </c>
      <c r="I10" s="151" t="s">
        <v>6</v>
      </c>
      <c r="J10" s="290">
        <f>F10*'Gårdens info'!D33</f>
        <v>0</v>
      </c>
      <c r="K10" s="151" t="s">
        <v>649</v>
      </c>
      <c r="L10" s="151"/>
      <c r="M10" s="287"/>
    </row>
    <row r="11" spans="1:13" s="8" customFormat="1" ht="21" customHeight="1" x14ac:dyDescent="0.4">
      <c r="A11" s="663"/>
      <c r="B11" s="932" t="s">
        <v>240</v>
      </c>
      <c r="C11" s="933"/>
      <c r="D11" s="933"/>
      <c r="E11" s="324"/>
      <c r="F11" s="328">
        <f>F9+F10</f>
        <v>0</v>
      </c>
      <c r="G11" s="329" t="s">
        <v>14</v>
      </c>
      <c r="H11" s="330">
        <f>H9+H10</f>
        <v>0.315</v>
      </c>
      <c r="I11" s="329" t="s">
        <v>6</v>
      </c>
      <c r="J11" s="331">
        <f>J9+J10</f>
        <v>0</v>
      </c>
      <c r="K11" s="329" t="s">
        <v>649</v>
      </c>
      <c r="L11" s="329"/>
      <c r="M11" s="321"/>
    </row>
    <row r="12" spans="1:13" s="8" customFormat="1" ht="21" x14ac:dyDescent="0.4">
      <c r="A12" s="663"/>
      <c r="B12" s="844"/>
      <c r="C12" s="845"/>
      <c r="D12" s="845"/>
      <c r="E12" s="324"/>
      <c r="F12" s="328"/>
      <c r="G12" s="329"/>
      <c r="H12" s="330"/>
      <c r="I12" s="329"/>
      <c r="J12" s="331"/>
      <c r="K12" s="329"/>
      <c r="L12" s="329"/>
      <c r="M12" s="321"/>
    </row>
    <row r="13" spans="1:13" ht="22.05" customHeight="1" x14ac:dyDescent="0.3">
      <c r="B13" s="292"/>
      <c r="C13" s="286"/>
      <c r="D13" s="148"/>
      <c r="E13" s="148"/>
      <c r="F13" s="148"/>
      <c r="G13" s="148"/>
      <c r="H13" s="148"/>
      <c r="I13" s="148"/>
      <c r="J13" s="293"/>
      <c r="K13" s="148"/>
      <c r="L13" s="148"/>
      <c r="M13" s="287"/>
    </row>
    <row r="14" spans="1:13" ht="21" x14ac:dyDescent="0.4">
      <c r="B14" s="319" t="s">
        <v>613</v>
      </c>
      <c r="C14" s="286"/>
      <c r="D14" s="148"/>
      <c r="E14" s="148"/>
      <c r="F14" s="148"/>
      <c r="G14" s="148"/>
      <c r="H14" s="148"/>
      <c r="I14" s="148"/>
      <c r="J14" s="293"/>
      <c r="K14" s="148"/>
      <c r="L14" s="148"/>
      <c r="M14" s="287"/>
    </row>
    <row r="15" spans="1:13" s="77" customFormat="1" ht="16.95" customHeight="1" x14ac:dyDescent="0.3">
      <c r="A15" s="662"/>
      <c r="B15" s="602"/>
      <c r="C15" s="306"/>
      <c r="D15" s="310"/>
      <c r="E15" s="310"/>
      <c r="F15" s="311"/>
      <c r="G15" s="153"/>
      <c r="H15" s="310"/>
      <c r="I15" s="310"/>
      <c r="J15" s="310"/>
      <c r="K15" s="310"/>
      <c r="L15" s="310"/>
      <c r="M15" s="295"/>
    </row>
    <row r="16" spans="1:13" s="91" customFormat="1" ht="16.95" customHeight="1" x14ac:dyDescent="0.25">
      <c r="A16" s="662"/>
      <c r="B16" s="602"/>
      <c r="C16" s="289" t="s">
        <v>243</v>
      </c>
      <c r="D16" s="297"/>
      <c r="E16" s="297"/>
      <c r="F16" s="308">
        <f>IF('Gårdens info'!D33&gt;0,J71,0)</f>
        <v>0</v>
      </c>
      <c r="G16" s="151" t="s">
        <v>14</v>
      </c>
      <c r="H16" s="299">
        <f>IF('Gårdens info'!$G$33&gt;0,F16/'Gårdens info'!$G$33,0)</f>
        <v>0</v>
      </c>
      <c r="I16" s="151" t="s">
        <v>6</v>
      </c>
      <c r="J16" s="298">
        <f>F16*'Gårdens info'!$D$33</f>
        <v>0</v>
      </c>
      <c r="K16" s="151" t="s">
        <v>649</v>
      </c>
      <c r="L16" s="297"/>
      <c r="M16" s="300"/>
    </row>
    <row r="17" spans="1:29" s="91" customFormat="1" ht="15" x14ac:dyDescent="0.25">
      <c r="A17" s="664"/>
      <c r="B17" s="296"/>
      <c r="C17" s="289" t="s">
        <v>244</v>
      </c>
      <c r="D17" s="297"/>
      <c r="E17" s="297"/>
      <c r="F17" s="298">
        <f>IF('Gårdens info'!D33&gt;0,J79,0)</f>
        <v>0</v>
      </c>
      <c r="G17" s="151" t="s">
        <v>14</v>
      </c>
      <c r="H17" s="299">
        <f>IF('Gårdens info'!$G$33&gt;0,F17/'Gårdens info'!$G$33,0)</f>
        <v>0</v>
      </c>
      <c r="I17" s="151" t="s">
        <v>6</v>
      </c>
      <c r="J17" s="298">
        <f>F17*'Gårdens info'!$D$33</f>
        <v>0</v>
      </c>
      <c r="K17" s="151" t="s">
        <v>649</v>
      </c>
      <c r="L17" s="297"/>
      <c r="M17" s="300"/>
    </row>
    <row r="18" spans="1:29" s="91" customFormat="1" ht="15" x14ac:dyDescent="0.25">
      <c r="A18" s="664"/>
      <c r="B18" s="296"/>
      <c r="C18" s="289" t="s">
        <v>245</v>
      </c>
      <c r="D18" s="297"/>
      <c r="E18" s="297"/>
      <c r="F18" s="298">
        <f>IF('Gårdens info'!D33&gt;0,J97,0)</f>
        <v>0</v>
      </c>
      <c r="G18" s="151" t="s">
        <v>14</v>
      </c>
      <c r="H18" s="299">
        <f>IF('Gårdens info'!$G$33&gt;0,F18/'Gårdens info'!$G$33,0)</f>
        <v>0</v>
      </c>
      <c r="I18" s="151" t="s">
        <v>6</v>
      </c>
      <c r="J18" s="298">
        <f>F18*'Gårdens info'!$D$33</f>
        <v>0</v>
      </c>
      <c r="K18" s="151" t="s">
        <v>649</v>
      </c>
      <c r="L18" s="297"/>
      <c r="M18" s="300"/>
    </row>
    <row r="19" spans="1:29" s="91" customFormat="1" ht="15" x14ac:dyDescent="0.25">
      <c r="A19" s="664"/>
      <c r="B19" s="296"/>
      <c r="C19" s="289" t="s">
        <v>387</v>
      </c>
      <c r="D19" s="297"/>
      <c r="E19" s="297"/>
      <c r="F19" s="298">
        <f>IF('Gårdens info'!D33&gt;0,J106,0)</f>
        <v>0</v>
      </c>
      <c r="G19" s="151" t="s">
        <v>14</v>
      </c>
      <c r="H19" s="299">
        <f>IF('Gårdens info'!$G$33&gt;0,F19/'Gårdens info'!$G$33,0)</f>
        <v>0</v>
      </c>
      <c r="I19" s="151" t="s">
        <v>6</v>
      </c>
      <c r="J19" s="298">
        <f>F19*'Gårdens info'!$D$33</f>
        <v>0</v>
      </c>
      <c r="K19" s="151" t="s">
        <v>649</v>
      </c>
      <c r="L19" s="297"/>
      <c r="M19" s="300"/>
    </row>
    <row r="20" spans="1:29" s="91" customFormat="1" ht="15" x14ac:dyDescent="0.25">
      <c r="A20" s="664"/>
      <c r="B20" s="296"/>
      <c r="C20" s="289" t="s">
        <v>249</v>
      </c>
      <c r="D20" s="297"/>
      <c r="E20" s="297"/>
      <c r="F20" s="298">
        <f>IF('Gårdens info'!D33&gt;0,J118,0)</f>
        <v>0</v>
      </c>
      <c r="G20" s="151" t="s">
        <v>14</v>
      </c>
      <c r="H20" s="299">
        <f>IF('Gårdens info'!$G$33&gt;0,F20/'Gårdens info'!$G$33,0)</f>
        <v>0</v>
      </c>
      <c r="I20" s="151" t="s">
        <v>6</v>
      </c>
      <c r="J20" s="298">
        <f>F20*'Gårdens info'!$D$33</f>
        <v>0</v>
      </c>
      <c r="K20" s="151" t="s">
        <v>649</v>
      </c>
      <c r="L20" s="297"/>
      <c r="M20" s="300"/>
    </row>
    <row r="21" spans="1:29" s="91" customFormat="1" ht="15" x14ac:dyDescent="0.25">
      <c r="A21" s="664"/>
      <c r="B21" s="296"/>
      <c r="C21" s="289" t="s">
        <v>614</v>
      </c>
      <c r="D21" s="297"/>
      <c r="E21" s="297"/>
      <c r="F21" s="298">
        <f>IF('Gårdens info'!D33&gt;0,L134,0)</f>
        <v>0</v>
      </c>
      <c r="G21" s="151" t="s">
        <v>14</v>
      </c>
      <c r="H21" s="299">
        <f>IF('Gårdens info'!$G$33&gt;0,F21/'Gårdens info'!$G$33,0)</f>
        <v>0</v>
      </c>
      <c r="I21" s="151" t="s">
        <v>6</v>
      </c>
      <c r="J21" s="298">
        <f>F21*'Gårdens info'!$D$33</f>
        <v>0</v>
      </c>
      <c r="K21" s="151" t="s">
        <v>649</v>
      </c>
      <c r="L21" s="297"/>
      <c r="M21" s="300"/>
    </row>
    <row r="22" spans="1:29" ht="15.6" x14ac:dyDescent="0.3">
      <c r="B22" s="312"/>
      <c r="C22" s="301" t="s">
        <v>196</v>
      </c>
      <c r="D22" s="302"/>
      <c r="E22" s="302"/>
      <c r="F22" s="303">
        <f>SUM(F16:F21)</f>
        <v>0</v>
      </c>
      <c r="G22" s="304" t="s">
        <v>14</v>
      </c>
      <c r="H22" s="305">
        <f>SUM(H16:H21)</f>
        <v>0</v>
      </c>
      <c r="I22" s="304" t="s">
        <v>6</v>
      </c>
      <c r="J22" s="303">
        <f>SUM(J16:J21)</f>
        <v>0</v>
      </c>
      <c r="K22" s="304" t="s">
        <v>649</v>
      </c>
      <c r="L22" s="302"/>
      <c r="M22" s="313"/>
      <c r="N22" s="91"/>
      <c r="O22" s="91"/>
      <c r="P22" s="91"/>
      <c r="Q22" s="91"/>
      <c r="R22" s="91"/>
      <c r="S22" s="91"/>
      <c r="T22" s="91"/>
      <c r="U22" s="91"/>
    </row>
    <row r="23" spans="1:29" s="77" customFormat="1" ht="17.399999999999999" x14ac:dyDescent="0.3">
      <c r="A23" s="665"/>
      <c r="B23" s="292"/>
      <c r="C23" s="306"/>
      <c r="D23" s="307"/>
      <c r="E23" s="307"/>
      <c r="F23" s="308"/>
      <c r="G23" s="151"/>
      <c r="H23" s="307"/>
      <c r="I23" s="307"/>
      <c r="J23" s="307"/>
      <c r="K23" s="307"/>
      <c r="L23" s="307"/>
      <c r="M23" s="287"/>
      <c r="N23" s="91"/>
      <c r="O23" s="91"/>
      <c r="P23" s="91"/>
      <c r="R23" s="91"/>
      <c r="S23" s="91"/>
      <c r="T23" s="91"/>
      <c r="U23" s="91"/>
      <c r="AB23" s="77" t="s">
        <v>243</v>
      </c>
      <c r="AC23" s="678">
        <f>F16</f>
        <v>0</v>
      </c>
    </row>
    <row r="24" spans="1:29" s="91" customFormat="1" ht="17.399999999999999" customHeight="1" x14ac:dyDescent="0.3">
      <c r="A24" s="664"/>
      <c r="B24" s="947" t="s">
        <v>623</v>
      </c>
      <c r="C24" s="948"/>
      <c r="D24" s="948"/>
      <c r="E24" s="948"/>
      <c r="F24" s="325">
        <f>IF('Gårdens info'!D33&gt;0,J24/'Gårdens info'!D33,0)</f>
        <v>0</v>
      </c>
      <c r="G24" s="304" t="s">
        <v>14</v>
      </c>
      <c r="H24" s="326">
        <f>IF('Gårdens info'!G33&gt;0,F24/'Gårdens info'!G33,0)</f>
        <v>0</v>
      </c>
      <c r="I24" s="304" t="s">
        <v>6</v>
      </c>
      <c r="J24" s="320">
        <f>'Gårdens info'!G147/'Gårdens info'!D37*'Gårdens info'!D33</f>
        <v>0</v>
      </c>
      <c r="K24" s="304" t="s">
        <v>649</v>
      </c>
      <c r="L24" s="327"/>
      <c r="M24" s="321"/>
      <c r="N24"/>
      <c r="O24"/>
      <c r="P24"/>
      <c r="S24"/>
      <c r="T24"/>
      <c r="U24"/>
      <c r="AB24" s="91" t="str">
        <f>C17</f>
        <v>Gödsel och kalk</v>
      </c>
      <c r="AC24" s="678">
        <f t="shared" ref="AC24:AC28" si="0">F17</f>
        <v>0</v>
      </c>
    </row>
    <row r="25" spans="1:29" s="91" customFormat="1" ht="17.399999999999999" customHeight="1" x14ac:dyDescent="0.3">
      <c r="A25" s="664"/>
      <c r="B25" s="949" t="s">
        <v>624</v>
      </c>
      <c r="C25" s="950"/>
      <c r="D25" s="950"/>
      <c r="E25" s="950"/>
      <c r="F25" s="325">
        <f>'Gårdens info'!$G$42*'Gårdens info'!$D$42/'Gårdens info'!$D$37*'Gårdens info'!D33</f>
        <v>0</v>
      </c>
      <c r="G25" s="304" t="s">
        <v>14</v>
      </c>
      <c r="H25" s="326">
        <f>IF('Gårdens info'!G33&gt;0,F25/'Gårdens info'!G33,0)</f>
        <v>0</v>
      </c>
      <c r="I25" s="304" t="s">
        <v>6</v>
      </c>
      <c r="J25" s="320">
        <f>F25*'Gårdens info'!D33</f>
        <v>0</v>
      </c>
      <c r="K25" s="304" t="s">
        <v>649</v>
      </c>
      <c r="L25" s="327"/>
      <c r="M25" s="321"/>
      <c r="N25" s="77"/>
      <c r="O25" s="77"/>
      <c r="P25" s="77"/>
      <c r="S25" s="77"/>
      <c r="T25" s="77"/>
      <c r="U25" s="77"/>
      <c r="AB25" s="91" t="str">
        <f>C18</f>
        <v>IPM Växtskydd</v>
      </c>
      <c r="AC25" s="678">
        <f t="shared" si="0"/>
        <v>0</v>
      </c>
    </row>
    <row r="26" spans="1:29" s="91" customFormat="1" ht="21" customHeight="1" x14ac:dyDescent="0.4">
      <c r="A26" s="664"/>
      <c r="B26" s="932" t="s">
        <v>226</v>
      </c>
      <c r="C26" s="933"/>
      <c r="D26" s="933"/>
      <c r="E26" s="324"/>
      <c r="F26" s="328">
        <f>F22+F24+F25</f>
        <v>0</v>
      </c>
      <c r="G26" s="329" t="s">
        <v>14</v>
      </c>
      <c r="H26" s="330">
        <f>H22+H24+H25</f>
        <v>0</v>
      </c>
      <c r="I26" s="329" t="s">
        <v>6</v>
      </c>
      <c r="J26" s="331">
        <f>J22+J24+J25</f>
        <v>0</v>
      </c>
      <c r="K26" s="329" t="s">
        <v>649</v>
      </c>
      <c r="L26" s="329"/>
      <c r="M26" s="321"/>
      <c r="AB26" s="91" t="str">
        <f t="shared" ref="AB26:AB28" si="1">C19</f>
        <v>Maskinhyra och entreprenad</v>
      </c>
      <c r="AC26" s="678">
        <f t="shared" si="0"/>
        <v>0</v>
      </c>
    </row>
    <row r="27" spans="1:29" s="91" customFormat="1" ht="21" x14ac:dyDescent="0.4">
      <c r="A27" s="664"/>
      <c r="B27" s="844"/>
      <c r="C27" s="845"/>
      <c r="D27" s="845"/>
      <c r="E27" s="324"/>
      <c r="F27" s="328"/>
      <c r="G27" s="329"/>
      <c r="H27" s="330"/>
      <c r="I27" s="329"/>
      <c r="J27" s="331"/>
      <c r="K27" s="329"/>
      <c r="L27" s="329"/>
      <c r="M27" s="321"/>
      <c r="AB27" s="91" t="str">
        <f t="shared" si="1"/>
        <v>Energikostnader</v>
      </c>
      <c r="AC27" s="678">
        <f t="shared" si="0"/>
        <v>0</v>
      </c>
    </row>
    <row r="28" spans="1:29" s="91" customFormat="1" ht="21" x14ac:dyDescent="0.4">
      <c r="A28" s="664"/>
      <c r="B28" s="319" t="s">
        <v>625</v>
      </c>
      <c r="C28" s="286"/>
      <c r="D28" s="148"/>
      <c r="E28" s="148"/>
      <c r="F28" s="148"/>
      <c r="G28" s="148"/>
      <c r="H28" s="148"/>
      <c r="I28" s="148"/>
      <c r="J28" s="293"/>
      <c r="K28" s="148"/>
      <c r="L28" s="148"/>
      <c r="M28" s="287"/>
      <c r="AB28" s="91" t="str">
        <f t="shared" si="1"/>
        <v xml:space="preserve">Anställd arbetskraft </v>
      </c>
      <c r="AC28" s="678">
        <f t="shared" si="0"/>
        <v>0</v>
      </c>
    </row>
    <row r="29" spans="1:29" s="91" customFormat="1" ht="21" customHeight="1" x14ac:dyDescent="0.4">
      <c r="A29" s="664"/>
      <c r="B29" s="947" t="s">
        <v>149</v>
      </c>
      <c r="C29" s="948"/>
      <c r="D29" s="845"/>
      <c r="E29" s="324"/>
      <c r="F29" s="328"/>
      <c r="G29" s="329"/>
      <c r="H29" s="330"/>
      <c r="I29" s="329"/>
      <c r="J29" s="331"/>
      <c r="K29" s="329"/>
      <c r="L29" s="329"/>
      <c r="M29" s="321"/>
      <c r="AB29" s="882" t="s">
        <v>572</v>
      </c>
      <c r="AC29" s="459">
        <f>F24</f>
        <v>0</v>
      </c>
    </row>
    <row r="30" spans="1:29" s="91" customFormat="1" ht="21" x14ac:dyDescent="0.4">
      <c r="A30" s="664"/>
      <c r="B30" s="350"/>
      <c r="C30" s="846" t="s">
        <v>264</v>
      </c>
      <c r="D30" s="845"/>
      <c r="E30" s="324"/>
      <c r="F30" s="338">
        <f>IF('Gårdens info'!$D$33&gt;0,J30/'Gårdens info'!$D$33,0)</f>
        <v>0</v>
      </c>
      <c r="G30" s="151" t="s">
        <v>14</v>
      </c>
      <c r="H30" s="339">
        <f>IF('Gårdens info'!$G$33&gt;0,F30/'Gårdens info'!$G$33,0)</f>
        <v>0</v>
      </c>
      <c r="I30" s="151" t="s">
        <v>6</v>
      </c>
      <c r="J30" s="298">
        <f>Ägendom!BA22</f>
        <v>0</v>
      </c>
      <c r="K30" s="151" t="s">
        <v>649</v>
      </c>
      <c r="L30" s="329"/>
      <c r="M30" s="321"/>
      <c r="AB30" s="91" t="s">
        <v>728</v>
      </c>
      <c r="AC30" s="459">
        <f>F25</f>
        <v>0</v>
      </c>
    </row>
    <row r="31" spans="1:29" s="236" customFormat="1" ht="21" x14ac:dyDescent="0.4">
      <c r="A31" s="666"/>
      <c r="B31" s="350"/>
      <c r="C31" s="846" t="s">
        <v>265</v>
      </c>
      <c r="D31" s="845"/>
      <c r="E31" s="324"/>
      <c r="F31" s="338">
        <f>IF('Gårdens info'!$D$33&gt;0,J31/'Gårdens info'!$D$33,0)</f>
        <v>0</v>
      </c>
      <c r="G31" s="151" t="s">
        <v>14</v>
      </c>
      <c r="H31" s="339">
        <f>IF('Gårdens info'!$G$33&gt;0,F31/'Gårdens info'!$G$33,0)</f>
        <v>0</v>
      </c>
      <c r="I31" s="151" t="s">
        <v>6</v>
      </c>
      <c r="J31" s="298">
        <f>Ägendom!BW22</f>
        <v>0</v>
      </c>
      <c r="K31" s="151" t="s">
        <v>649</v>
      </c>
      <c r="L31" s="329"/>
      <c r="M31" s="321"/>
      <c r="N31" s="91"/>
      <c r="O31" s="91"/>
      <c r="P31" s="91"/>
      <c r="S31" s="91"/>
      <c r="T31" s="91"/>
      <c r="U31" s="91"/>
      <c r="AB31" s="91" t="s">
        <v>576</v>
      </c>
      <c r="AC31" s="460">
        <f>F34</f>
        <v>0</v>
      </c>
    </row>
    <row r="32" spans="1:29" ht="17.399999999999999" customHeight="1" x14ac:dyDescent="0.3">
      <c r="B32" s="350"/>
      <c r="C32" s="941" t="s">
        <v>266</v>
      </c>
      <c r="D32" s="941"/>
      <c r="E32" s="324"/>
      <c r="F32" s="338">
        <f>IF('Gårdens info'!$D$33&gt;0,J32/'Gårdens info'!$D$33,0)</f>
        <v>0</v>
      </c>
      <c r="G32" s="151" t="s">
        <v>14</v>
      </c>
      <c r="H32" s="339">
        <f>IF('Gårdens info'!$G$33&gt;0,F32/'Gårdens info'!$G$33,0)</f>
        <v>0</v>
      </c>
      <c r="I32" s="151" t="s">
        <v>6</v>
      </c>
      <c r="J32" s="298">
        <f>Ägendom!CS22</f>
        <v>0</v>
      </c>
      <c r="K32" s="151" t="s">
        <v>649</v>
      </c>
      <c r="L32" s="329"/>
      <c r="M32" s="321"/>
      <c r="N32" s="91"/>
      <c r="O32" s="91"/>
      <c r="P32" s="91"/>
      <c r="S32" s="91"/>
      <c r="T32" s="91"/>
      <c r="U32" s="91"/>
      <c r="AB32" s="91" t="s">
        <v>577</v>
      </c>
      <c r="AC32" s="461">
        <f>F41</f>
        <v>0</v>
      </c>
    </row>
    <row r="33" spans="1:29" ht="21" x14ac:dyDescent="0.4">
      <c r="B33" s="350"/>
      <c r="C33" s="846" t="s">
        <v>399</v>
      </c>
      <c r="D33" s="845"/>
      <c r="E33" s="324"/>
      <c r="F33" s="338">
        <f>IF('Gårdens info'!$D$33&gt;0,J33/'Gårdens info'!$D$33,0)</f>
        <v>0</v>
      </c>
      <c r="G33" s="151" t="s">
        <v>14</v>
      </c>
      <c r="H33" s="339">
        <f>IF('Gårdens info'!$G$33&gt;0,F33/'Gårdens info'!$G$33,0)</f>
        <v>0</v>
      </c>
      <c r="I33" s="151" t="s">
        <v>6</v>
      </c>
      <c r="J33" s="298">
        <f>Ägendom!DO22</f>
        <v>0</v>
      </c>
      <c r="K33" s="151" t="s">
        <v>649</v>
      </c>
      <c r="L33" s="329"/>
      <c r="M33" s="321"/>
      <c r="N33" s="236"/>
      <c r="O33" s="236"/>
      <c r="P33" s="236"/>
      <c r="S33" s="236"/>
      <c r="T33" s="236"/>
      <c r="U33" s="236"/>
      <c r="AB33" s="91" t="s">
        <v>578</v>
      </c>
      <c r="AC33" s="461">
        <f>F48</f>
        <v>0</v>
      </c>
    </row>
    <row r="34" spans="1:29" ht="20.399999999999999" x14ac:dyDescent="0.35">
      <c r="B34" s="352"/>
      <c r="C34" s="340" t="s">
        <v>196</v>
      </c>
      <c r="D34" s="341"/>
      <c r="E34" s="324"/>
      <c r="F34" s="342">
        <f>SUM(F30:F33)</f>
        <v>0</v>
      </c>
      <c r="G34" s="151" t="s">
        <v>14</v>
      </c>
      <c r="H34" s="348">
        <f t="shared" ref="H34:J34" si="2">SUM(H30:H33)</f>
        <v>0</v>
      </c>
      <c r="I34" s="151" t="s">
        <v>6</v>
      </c>
      <c r="J34" s="342">
        <f t="shared" si="2"/>
        <v>0</v>
      </c>
      <c r="K34" s="151" t="s">
        <v>649</v>
      </c>
      <c r="L34" s="343"/>
      <c r="M34" s="321"/>
      <c r="AB34" s="91" t="s">
        <v>162</v>
      </c>
      <c r="AC34" s="461">
        <f>F54</f>
        <v>0</v>
      </c>
    </row>
    <row r="35" spans="1:29" s="91" customFormat="1" ht="21" x14ac:dyDescent="0.4">
      <c r="A35" s="664"/>
      <c r="B35" s="350"/>
      <c r="C35" s="846"/>
      <c r="D35" s="845"/>
      <c r="E35" s="324"/>
      <c r="F35" s="338"/>
      <c r="G35" s="151"/>
      <c r="H35" s="339"/>
      <c r="I35" s="151"/>
      <c r="J35" s="298"/>
      <c r="K35" s="151"/>
      <c r="L35" s="329"/>
      <c r="M35" s="321"/>
      <c r="N35"/>
      <c r="O35"/>
      <c r="P35"/>
      <c r="S35"/>
      <c r="T35"/>
      <c r="U35"/>
      <c r="AB35" s="91" t="s">
        <v>727</v>
      </c>
      <c r="AC35" s="459">
        <f>F60</f>
        <v>0</v>
      </c>
    </row>
    <row r="36" spans="1:29" s="91" customFormat="1" ht="17.399999999999999" customHeight="1" x14ac:dyDescent="0.3">
      <c r="A36" s="664"/>
      <c r="B36" s="970" t="s">
        <v>400</v>
      </c>
      <c r="C36" s="971"/>
      <c r="D36" s="971"/>
      <c r="E36" s="324"/>
      <c r="F36" s="338"/>
      <c r="G36" s="151"/>
      <c r="H36" s="339"/>
      <c r="I36" s="151"/>
      <c r="J36" s="298"/>
      <c r="K36" s="151"/>
      <c r="L36" s="329"/>
      <c r="M36" s="321"/>
      <c r="N36"/>
      <c r="O36"/>
      <c r="P36"/>
      <c r="S36"/>
      <c r="T36"/>
      <c r="U36"/>
      <c r="AB36" s="8"/>
      <c r="AC36" s="8"/>
    </row>
    <row r="37" spans="1:29" s="91" customFormat="1" ht="21" x14ac:dyDescent="0.4">
      <c r="A37" s="664"/>
      <c r="B37" s="350"/>
      <c r="C37" s="846" t="s">
        <v>264</v>
      </c>
      <c r="D37" s="845"/>
      <c r="E37" s="324"/>
      <c r="F37" s="338">
        <f>IF('Gårdens info'!$D$33&gt;0,J37/'Gårdens info'!$D$33,0)</f>
        <v>0</v>
      </c>
      <c r="G37" s="151" t="s">
        <v>14</v>
      </c>
      <c r="H37" s="339">
        <f>IF('Gårdens info'!$G$33&gt;0,F37/'Gårdens info'!$G$33,0)</f>
        <v>0</v>
      </c>
      <c r="I37" s="151" t="s">
        <v>6</v>
      </c>
      <c r="J37" s="298">
        <f>Ägendom!BA51</f>
        <v>0</v>
      </c>
      <c r="K37" s="151" t="s">
        <v>649</v>
      </c>
      <c r="L37" s="329"/>
      <c r="M37" s="321"/>
      <c r="AB37" s="8"/>
      <c r="AC37" s="8"/>
    </row>
    <row r="38" spans="1:29" s="8" customFormat="1" ht="21" x14ac:dyDescent="0.4">
      <c r="A38" s="663"/>
      <c r="B38" s="350"/>
      <c r="C38" s="846" t="s">
        <v>265</v>
      </c>
      <c r="D38" s="845"/>
      <c r="E38" s="324"/>
      <c r="F38" s="338">
        <f>IF('Gårdens info'!$D$33&gt;0,J38/'Gårdens info'!$D$33,0)</f>
        <v>0</v>
      </c>
      <c r="G38" s="151" t="s">
        <v>14</v>
      </c>
      <c r="H38" s="339">
        <f>IF('Gårdens info'!$G$33&gt;0,F38/'Gårdens info'!$G$33,0)</f>
        <v>0</v>
      </c>
      <c r="I38" s="151" t="s">
        <v>6</v>
      </c>
      <c r="J38" s="298">
        <f>Ägendom!BW51</f>
        <v>0</v>
      </c>
      <c r="K38" s="151" t="s">
        <v>649</v>
      </c>
      <c r="L38" s="329"/>
      <c r="M38" s="321"/>
      <c r="N38" s="91"/>
      <c r="O38" s="91"/>
      <c r="P38" s="91"/>
      <c r="Q38" s="91"/>
      <c r="R38" s="91"/>
      <c r="S38" s="91"/>
      <c r="T38" s="91"/>
      <c r="U38" s="91"/>
    </row>
    <row r="39" spans="1:29" s="8" customFormat="1" ht="17.399999999999999" customHeight="1" x14ac:dyDescent="0.3">
      <c r="A39" s="663"/>
      <c r="B39" s="350"/>
      <c r="C39" s="941" t="s">
        <v>266</v>
      </c>
      <c r="D39" s="941"/>
      <c r="E39" s="324"/>
      <c r="F39" s="338">
        <f>IF('Gårdens info'!$D$33&gt;0,J39/'Gårdens info'!$D$33,0)</f>
        <v>0</v>
      </c>
      <c r="G39" s="151" t="s">
        <v>14</v>
      </c>
      <c r="H39" s="339">
        <f>IF('Gårdens info'!$G$33&gt;0,F39/'Gårdens info'!$G$33,0)</f>
        <v>0</v>
      </c>
      <c r="I39" s="151" t="s">
        <v>6</v>
      </c>
      <c r="J39" s="298">
        <f>Ägendom!CS51</f>
        <v>0</v>
      </c>
      <c r="K39" s="151" t="s">
        <v>649</v>
      </c>
      <c r="L39" s="329"/>
      <c r="M39" s="321"/>
      <c r="N39" s="91"/>
      <c r="O39" s="91"/>
      <c r="P39" s="91"/>
      <c r="Q39" s="91"/>
      <c r="R39" s="91"/>
      <c r="S39" s="91"/>
      <c r="T39" s="91"/>
      <c r="U39" s="91"/>
    </row>
    <row r="40" spans="1:29" s="8" customFormat="1" ht="21" x14ac:dyDescent="0.4">
      <c r="A40" s="663"/>
      <c r="B40" s="350"/>
      <c r="C40" s="846" t="s">
        <v>399</v>
      </c>
      <c r="D40" s="845"/>
      <c r="E40" s="324"/>
      <c r="F40" s="338">
        <f>IF('Gårdens info'!$D$33&gt;0,J40/'Gårdens info'!$D$33,0)</f>
        <v>0</v>
      </c>
      <c r="G40" s="151" t="s">
        <v>14</v>
      </c>
      <c r="H40" s="339">
        <f>IF('Gårdens info'!$G$33&gt;0,F40/'Gårdens info'!$G$33,0)</f>
        <v>0</v>
      </c>
      <c r="I40" s="151" t="s">
        <v>6</v>
      </c>
      <c r="J40" s="298">
        <f>Ägendom!DO51</f>
        <v>0</v>
      </c>
      <c r="K40" s="151" t="s">
        <v>649</v>
      </c>
      <c r="L40" s="329"/>
      <c r="M40" s="321"/>
    </row>
    <row r="41" spans="1:29" s="8" customFormat="1" ht="20.399999999999999" x14ac:dyDescent="0.35">
      <c r="A41" s="663"/>
      <c r="B41" s="352"/>
      <c r="C41" s="340" t="s">
        <v>196</v>
      </c>
      <c r="D41" s="341"/>
      <c r="E41" s="324"/>
      <c r="F41" s="342">
        <f>SUM(F37:F40)</f>
        <v>0</v>
      </c>
      <c r="G41" s="151" t="s">
        <v>14</v>
      </c>
      <c r="H41" s="348">
        <f t="shared" ref="H41:J41" si="3">SUM(H37:H40)</f>
        <v>0</v>
      </c>
      <c r="I41" s="151" t="s">
        <v>6</v>
      </c>
      <c r="J41" s="342">
        <f t="shared" si="3"/>
        <v>0</v>
      </c>
      <c r="K41" s="151" t="s">
        <v>649</v>
      </c>
      <c r="L41" s="343"/>
      <c r="M41" s="321"/>
    </row>
    <row r="42" spans="1:29" s="8" customFormat="1" ht="21" x14ac:dyDescent="0.4">
      <c r="A42" s="663"/>
      <c r="B42" s="350"/>
      <c r="C42" s="846"/>
      <c r="D42" s="845"/>
      <c r="E42" s="324"/>
      <c r="F42" s="338"/>
      <c r="G42" s="151"/>
      <c r="H42" s="339"/>
      <c r="I42" s="151"/>
      <c r="J42" s="298"/>
      <c r="K42" s="151"/>
      <c r="L42" s="329"/>
      <c r="M42" s="321"/>
      <c r="AB42"/>
      <c r="AC42"/>
    </row>
    <row r="43" spans="1:29" s="8" customFormat="1" ht="43.05" customHeight="1" x14ac:dyDescent="0.3">
      <c r="A43" s="663"/>
      <c r="B43" s="947" t="s">
        <v>151</v>
      </c>
      <c r="C43" s="948"/>
      <c r="D43" s="948"/>
      <c r="E43" s="324"/>
      <c r="F43" s="338"/>
      <c r="G43" s="151"/>
      <c r="H43" s="339"/>
      <c r="I43" s="151"/>
      <c r="J43" s="298"/>
      <c r="K43" s="151"/>
      <c r="L43" s="329"/>
      <c r="M43" s="321"/>
    </row>
    <row r="44" spans="1:29" ht="21" x14ac:dyDescent="0.4">
      <c r="B44" s="350"/>
      <c r="C44" s="846" t="s">
        <v>264</v>
      </c>
      <c r="D44" s="845"/>
      <c r="E44" s="324"/>
      <c r="F44" s="338">
        <f>IF('Gårdens info'!$D$33&gt;0,J44/'Gårdens info'!$D$33,0)</f>
        <v>0</v>
      </c>
      <c r="G44" s="151" t="s">
        <v>14</v>
      </c>
      <c r="H44" s="339">
        <f>IF('Gårdens info'!$G$33&gt;0,F44/'Gårdens info'!$G$33,0)</f>
        <v>0</v>
      </c>
      <c r="I44" s="151" t="s">
        <v>6</v>
      </c>
      <c r="J44" s="298">
        <f>Ägendom!BA76</f>
        <v>0</v>
      </c>
      <c r="K44" s="151" t="s">
        <v>649</v>
      </c>
      <c r="L44" s="329"/>
      <c r="M44" s="321"/>
      <c r="N44" s="8"/>
      <c r="O44" s="8"/>
      <c r="P44" s="8"/>
      <c r="Q44" s="8"/>
      <c r="R44" s="8"/>
      <c r="S44" s="8"/>
      <c r="T44" s="8"/>
      <c r="U44" s="8"/>
      <c r="AB44" s="8"/>
      <c r="AC44" s="8"/>
    </row>
    <row r="45" spans="1:29" s="8" customFormat="1" ht="21" x14ac:dyDescent="0.4">
      <c r="A45" s="663"/>
      <c r="B45" s="350"/>
      <c r="C45" s="846" t="s">
        <v>265</v>
      </c>
      <c r="D45" s="845"/>
      <c r="E45" s="324"/>
      <c r="F45" s="338">
        <f>IF('Gårdens info'!$D$33&gt;0,J45/'Gårdens info'!$D$33,0)</f>
        <v>0</v>
      </c>
      <c r="G45" s="151" t="s">
        <v>14</v>
      </c>
      <c r="H45" s="339">
        <f>IF('Gårdens info'!$G$33&gt;0,F45/'Gårdens info'!$G$33,0)</f>
        <v>0</v>
      </c>
      <c r="I45" s="151" t="s">
        <v>6</v>
      </c>
      <c r="J45" s="298">
        <f>Ägendom!BW76</f>
        <v>0</v>
      </c>
      <c r="K45" s="151" t="s">
        <v>649</v>
      </c>
      <c r="L45" s="329"/>
      <c r="M45" s="321"/>
    </row>
    <row r="46" spans="1:29" s="8" customFormat="1" ht="17.399999999999999" customHeight="1" x14ac:dyDescent="0.3">
      <c r="A46" s="663"/>
      <c r="B46" s="350"/>
      <c r="C46" s="941" t="s">
        <v>266</v>
      </c>
      <c r="D46" s="941"/>
      <c r="E46" s="324"/>
      <c r="F46" s="338">
        <f>IF('Gårdens info'!$D$33&gt;0,J46/'Gårdens info'!$D$33,0)</f>
        <v>0</v>
      </c>
      <c r="G46" s="151" t="s">
        <v>14</v>
      </c>
      <c r="H46" s="339">
        <f>IF('Gårdens info'!$G$33&gt;0,F46/'Gårdens info'!$G$33,0)</f>
        <v>0</v>
      </c>
      <c r="I46" s="151" t="s">
        <v>6</v>
      </c>
      <c r="J46" s="298">
        <f>Ägendom!CS76</f>
        <v>0</v>
      </c>
      <c r="K46" s="151" t="s">
        <v>649</v>
      </c>
      <c r="L46" s="329"/>
      <c r="M46" s="321"/>
      <c r="N46"/>
      <c r="O46"/>
      <c r="P46"/>
      <c r="Q46"/>
      <c r="R46"/>
      <c r="S46"/>
      <c r="T46"/>
      <c r="U46"/>
    </row>
    <row r="47" spans="1:29" s="8" customFormat="1" ht="21" x14ac:dyDescent="0.4">
      <c r="A47" s="663"/>
      <c r="B47" s="350"/>
      <c r="C47" s="846" t="s">
        <v>399</v>
      </c>
      <c r="D47" s="845"/>
      <c r="E47" s="324"/>
      <c r="F47" s="338">
        <f>IF('Gårdens info'!$D$33&gt;0,J47/'Gårdens info'!$D$33,0)</f>
        <v>0</v>
      </c>
      <c r="G47" s="151" t="s">
        <v>14</v>
      </c>
      <c r="H47" s="339">
        <f>IF('Gårdens info'!$G$33&gt;0,F47/'Gårdens info'!$G$33,0)</f>
        <v>0</v>
      </c>
      <c r="I47" s="151" t="s">
        <v>6</v>
      </c>
      <c r="J47" s="298">
        <f>Ägendom!DO76</f>
        <v>0</v>
      </c>
      <c r="K47" s="151" t="s">
        <v>649</v>
      </c>
      <c r="L47" s="329"/>
      <c r="M47" s="321"/>
    </row>
    <row r="48" spans="1:29" s="8" customFormat="1" ht="20.399999999999999" x14ac:dyDescent="0.35">
      <c r="A48" s="663"/>
      <c r="B48" s="352"/>
      <c r="C48" s="340" t="s">
        <v>196</v>
      </c>
      <c r="D48" s="341"/>
      <c r="E48" s="324"/>
      <c r="F48" s="342">
        <f>SUM(F44:F47)</f>
        <v>0</v>
      </c>
      <c r="G48" s="151" t="s">
        <v>14</v>
      </c>
      <c r="H48" s="348">
        <f t="shared" ref="H48:J48" si="4">SUM(H44:H47)</f>
        <v>0</v>
      </c>
      <c r="I48" s="151" t="s">
        <v>6</v>
      </c>
      <c r="J48" s="342">
        <f t="shared" si="4"/>
        <v>0</v>
      </c>
      <c r="K48" s="151" t="s">
        <v>649</v>
      </c>
      <c r="L48" s="343"/>
      <c r="M48" s="321"/>
    </row>
    <row r="49" spans="1:29" s="8" customFormat="1" ht="21" x14ac:dyDescent="0.4">
      <c r="A49" s="663"/>
      <c r="B49" s="350"/>
      <c r="C49" s="846"/>
      <c r="D49" s="845"/>
      <c r="E49" s="324"/>
      <c r="F49" s="338"/>
      <c r="G49" s="151"/>
      <c r="H49" s="339"/>
      <c r="I49" s="151"/>
      <c r="J49" s="298"/>
      <c r="K49" s="151"/>
      <c r="L49" s="329"/>
      <c r="M49" s="321"/>
    </row>
    <row r="50" spans="1:29" s="8" customFormat="1" ht="21" customHeight="1" x14ac:dyDescent="0.4">
      <c r="A50" s="663"/>
      <c r="B50" s="951" t="s">
        <v>160</v>
      </c>
      <c r="C50" s="952"/>
      <c r="D50" s="845"/>
      <c r="E50" s="324"/>
      <c r="F50" s="338"/>
      <c r="G50" s="151"/>
      <c r="H50" s="339"/>
      <c r="I50" s="151"/>
      <c r="J50" s="298"/>
      <c r="K50" s="151"/>
      <c r="L50" s="329"/>
      <c r="M50" s="321"/>
    </row>
    <row r="51" spans="1:29" s="8" customFormat="1" ht="21" x14ac:dyDescent="0.4">
      <c r="A51" s="663"/>
      <c r="B51" s="350"/>
      <c r="C51" s="846" t="s">
        <v>264</v>
      </c>
      <c r="D51" s="845"/>
      <c r="E51" s="324"/>
      <c r="F51" s="338">
        <f>IF('Gårdens info'!$D$33&gt;0,J51/'Gårdens info'!$D$33,0)</f>
        <v>0</v>
      </c>
      <c r="G51" s="151" t="s">
        <v>14</v>
      </c>
      <c r="H51" s="339">
        <f>IF('Gårdens info'!$G$33&gt;0,F51/'Gårdens info'!$G$33,0)</f>
        <v>0</v>
      </c>
      <c r="I51" s="151" t="s">
        <v>6</v>
      </c>
      <c r="J51" s="298">
        <f>Ägendom!BA79</f>
        <v>0</v>
      </c>
      <c r="K51" s="151" t="s">
        <v>649</v>
      </c>
      <c r="L51" s="329"/>
      <c r="M51" s="321"/>
    </row>
    <row r="52" spans="1:29" s="8" customFormat="1" ht="19.95" customHeight="1" x14ac:dyDescent="0.4">
      <c r="A52" s="663"/>
      <c r="B52" s="350"/>
      <c r="C52" s="846" t="s">
        <v>265</v>
      </c>
      <c r="D52" s="845"/>
      <c r="E52" s="324"/>
      <c r="F52" s="338">
        <f>IF('Gårdens info'!$D$33&gt;0,J52/'Gårdens info'!$D$33,0)</f>
        <v>0</v>
      </c>
      <c r="G52" s="151" t="s">
        <v>14</v>
      </c>
      <c r="H52" s="339">
        <f>IF('Gårdens info'!$G$33&gt;0,F52/'Gårdens info'!$G$33,0)</f>
        <v>0</v>
      </c>
      <c r="I52" s="151" t="s">
        <v>6</v>
      </c>
      <c r="J52" s="298">
        <f>Ägendom!BW79</f>
        <v>0</v>
      </c>
      <c r="K52" s="151" t="s">
        <v>649</v>
      </c>
      <c r="L52" s="329"/>
      <c r="M52" s="321"/>
    </row>
    <row r="53" spans="1:29" s="8" customFormat="1" ht="17.399999999999999" customHeight="1" x14ac:dyDescent="0.3">
      <c r="A53" s="663"/>
      <c r="B53" s="350"/>
      <c r="C53" s="941" t="s">
        <v>266</v>
      </c>
      <c r="D53" s="941"/>
      <c r="E53" s="324"/>
      <c r="F53" s="338">
        <f>IF('Gårdens info'!$D$33&gt;0,J53/'Gårdens info'!$D$33,0)</f>
        <v>0</v>
      </c>
      <c r="G53" s="151" t="s">
        <v>14</v>
      </c>
      <c r="H53" s="339">
        <f>IF('Gårdens info'!$G$33&gt;0,F53/'Gårdens info'!$G$33,0)</f>
        <v>0</v>
      </c>
      <c r="I53" s="151" t="s">
        <v>6</v>
      </c>
      <c r="J53" s="298">
        <f>Ägendom!CS79</f>
        <v>0</v>
      </c>
      <c r="K53" s="151" t="s">
        <v>649</v>
      </c>
      <c r="L53" s="329"/>
      <c r="M53" s="321"/>
    </row>
    <row r="54" spans="1:29" s="8" customFormat="1" ht="15.6" x14ac:dyDescent="0.3">
      <c r="A54" s="663"/>
      <c r="B54" s="349"/>
      <c r="C54" s="323" t="s">
        <v>196</v>
      </c>
      <c r="D54" s="323"/>
      <c r="E54" s="323"/>
      <c r="F54" s="342">
        <f>SUM(F51:F53)</f>
        <v>0</v>
      </c>
      <c r="G54" s="151" t="s">
        <v>14</v>
      </c>
      <c r="H54" s="348">
        <f t="shared" ref="H54:J54" si="5">SUM(H51:H53)</f>
        <v>0</v>
      </c>
      <c r="I54" s="151" t="s">
        <v>6</v>
      </c>
      <c r="J54" s="342">
        <f t="shared" si="5"/>
        <v>0</v>
      </c>
      <c r="K54" s="151" t="s">
        <v>649</v>
      </c>
      <c r="L54" s="347"/>
      <c r="M54" s="353"/>
    </row>
    <row r="55" spans="1:29" s="8" customFormat="1" ht="21" customHeight="1" x14ac:dyDescent="0.4">
      <c r="A55" s="663"/>
      <c r="B55" s="932" t="s">
        <v>229</v>
      </c>
      <c r="C55" s="933"/>
      <c r="D55" s="933"/>
      <c r="E55" s="324"/>
      <c r="F55" s="328">
        <f>F34+F41+F48+F54</f>
        <v>0</v>
      </c>
      <c r="G55" s="329" t="s">
        <v>14</v>
      </c>
      <c r="H55" s="330">
        <f>H34+H41+H48+H54</f>
        <v>0</v>
      </c>
      <c r="I55" s="329" t="s">
        <v>6</v>
      </c>
      <c r="J55" s="331">
        <f>J34+J41+J48+J54</f>
        <v>0</v>
      </c>
      <c r="K55" s="329" t="s">
        <v>649</v>
      </c>
      <c r="L55" s="329"/>
      <c r="M55" s="321"/>
    </row>
    <row r="56" spans="1:29" s="8" customFormat="1" ht="15.6" x14ac:dyDescent="0.3">
      <c r="A56" s="663"/>
      <c r="B56" s="349"/>
      <c r="C56" s="324"/>
      <c r="D56" s="324"/>
      <c r="E56" s="324"/>
      <c r="F56" s="325"/>
      <c r="G56" s="304"/>
      <c r="H56" s="326"/>
      <c r="I56" s="304"/>
      <c r="J56" s="320"/>
      <c r="K56" s="304"/>
      <c r="L56" s="327"/>
      <c r="M56" s="321"/>
    </row>
    <row r="57" spans="1:29" s="8" customFormat="1" ht="21" x14ac:dyDescent="0.4">
      <c r="A57" s="663"/>
      <c r="B57" s="319" t="s">
        <v>230</v>
      </c>
      <c r="C57" s="324"/>
      <c r="D57" s="324"/>
      <c r="E57" s="324"/>
      <c r="F57" s="325"/>
      <c r="G57" s="304"/>
      <c r="H57" s="326"/>
      <c r="I57" s="304"/>
      <c r="J57" s="320"/>
      <c r="K57" s="304"/>
      <c r="L57" s="327"/>
      <c r="M57" s="321"/>
    </row>
    <row r="58" spans="1:29" s="8" customFormat="1" ht="15" x14ac:dyDescent="0.25">
      <c r="A58" s="663"/>
      <c r="B58" s="296"/>
      <c r="C58" s="289" t="s">
        <v>230</v>
      </c>
      <c r="D58" s="297"/>
      <c r="E58" s="297"/>
      <c r="F58" s="298">
        <f>IF('Gårdens info'!D33&gt;0,H134,0)</f>
        <v>0</v>
      </c>
      <c r="G58" s="151" t="s">
        <v>14</v>
      </c>
      <c r="H58" s="299">
        <f>IF('Gårdens info'!G33&gt;0,F58/'Gårdens info'!$G$33,0)</f>
        <v>0</v>
      </c>
      <c r="I58" s="151" t="s">
        <v>6</v>
      </c>
      <c r="J58" s="298">
        <f>F58*'Gårdens info'!D33</f>
        <v>0</v>
      </c>
      <c r="K58" s="151" t="s">
        <v>649</v>
      </c>
      <c r="L58" s="297"/>
      <c r="M58" s="300"/>
    </row>
    <row r="59" spans="1:29" s="8" customFormat="1" ht="17.399999999999999" x14ac:dyDescent="0.3">
      <c r="A59" s="663"/>
      <c r="B59" s="850"/>
      <c r="C59" s="306"/>
      <c r="D59" s="310"/>
      <c r="E59" s="310"/>
      <c r="F59" s="311"/>
      <c r="G59" s="153"/>
      <c r="H59" s="310"/>
      <c r="I59" s="310"/>
      <c r="J59" s="310"/>
      <c r="K59" s="310"/>
      <c r="L59" s="310"/>
      <c r="M59" s="295"/>
    </row>
    <row r="60" spans="1:29" s="8" customFormat="1" ht="21" customHeight="1" x14ac:dyDescent="0.4">
      <c r="A60" s="663"/>
      <c r="B60" s="932" t="s">
        <v>230</v>
      </c>
      <c r="C60" s="933"/>
      <c r="D60" s="933"/>
      <c r="E60" s="324"/>
      <c r="F60" s="328">
        <f>F58</f>
        <v>0</v>
      </c>
      <c r="G60" s="329" t="s">
        <v>14</v>
      </c>
      <c r="H60" s="330">
        <f>H58</f>
        <v>0</v>
      </c>
      <c r="I60" s="329" t="s">
        <v>6</v>
      </c>
      <c r="J60" s="331">
        <f>J58</f>
        <v>0</v>
      </c>
      <c r="K60" s="329" t="s">
        <v>649</v>
      </c>
      <c r="L60" s="329"/>
      <c r="M60" s="321"/>
    </row>
    <row r="61" spans="1:29" s="8" customFormat="1" ht="21" x14ac:dyDescent="0.4">
      <c r="A61" s="663"/>
      <c r="B61" s="844"/>
      <c r="C61" s="845"/>
      <c r="D61" s="845"/>
      <c r="E61" s="324"/>
      <c r="F61" s="328"/>
      <c r="G61" s="329"/>
      <c r="H61" s="330"/>
      <c r="I61" s="329"/>
      <c r="J61" s="331"/>
      <c r="K61" s="329"/>
      <c r="L61" s="329"/>
      <c r="M61" s="321"/>
    </row>
    <row r="62" spans="1:29" s="8" customFormat="1" ht="21" customHeight="1" x14ac:dyDescent="0.4">
      <c r="A62" s="663"/>
      <c r="B62" s="932" t="s">
        <v>616</v>
      </c>
      <c r="C62" s="933"/>
      <c r="D62" s="933"/>
      <c r="E62" s="324"/>
      <c r="F62" s="328">
        <f>F26+F55+F60</f>
        <v>0</v>
      </c>
      <c r="G62" s="329" t="s">
        <v>14</v>
      </c>
      <c r="H62" s="705">
        <f>H26+H55+H60</f>
        <v>0</v>
      </c>
      <c r="I62" s="329" t="s">
        <v>6</v>
      </c>
      <c r="J62" s="328">
        <f>J26+J55+J60</f>
        <v>0</v>
      </c>
      <c r="K62" s="329" t="s">
        <v>649</v>
      </c>
      <c r="L62" s="329"/>
      <c r="M62" s="321"/>
    </row>
    <row r="63" spans="1:29" s="8" customFormat="1" ht="21" x14ac:dyDescent="0.4">
      <c r="A63" s="663"/>
      <c r="B63" s="844"/>
      <c r="C63" s="845"/>
      <c r="D63" s="845"/>
      <c r="E63" s="324"/>
      <c r="F63" s="328"/>
      <c r="G63" s="329"/>
      <c r="H63" s="330"/>
      <c r="I63" s="329"/>
      <c r="J63" s="331"/>
      <c r="K63" s="329"/>
      <c r="L63" s="329"/>
      <c r="M63" s="321"/>
    </row>
    <row r="64" spans="1:29" s="8" customFormat="1" ht="21.6" customHeight="1" thickBot="1" x14ac:dyDescent="0.45">
      <c r="A64" s="663"/>
      <c r="B64" s="936" t="s">
        <v>269</v>
      </c>
      <c r="C64" s="937"/>
      <c r="D64" s="937"/>
      <c r="E64" s="315"/>
      <c r="F64" s="355">
        <f>F11-F26-F55-F60</f>
        <v>0</v>
      </c>
      <c r="G64" s="356" t="s">
        <v>14</v>
      </c>
      <c r="H64" s="357">
        <f>H11-H26-H55-H60</f>
        <v>0.315</v>
      </c>
      <c r="I64" s="356" t="s">
        <v>6</v>
      </c>
      <c r="J64" s="355">
        <f>J11-J26-J55-J60</f>
        <v>0</v>
      </c>
      <c r="K64" s="356" t="s">
        <v>649</v>
      </c>
      <c r="L64" s="356"/>
      <c r="M64" s="316"/>
      <c r="AB64" s="239"/>
      <c r="AC64" s="239"/>
    </row>
    <row r="65" spans="1:29" s="8" customFormat="1" ht="21" x14ac:dyDescent="0.4">
      <c r="A65" s="663"/>
      <c r="B65" s="76"/>
      <c r="C65"/>
      <c r="D65"/>
      <c r="E65"/>
      <c r="F65"/>
      <c r="G65"/>
      <c r="H65"/>
      <c r="I65"/>
      <c r="J65"/>
      <c r="K65"/>
      <c r="L65"/>
      <c r="M65"/>
    </row>
    <row r="66" spans="1:29" s="239" customFormat="1" ht="16.2" thickBot="1" x14ac:dyDescent="0.35">
      <c r="A66" s="667"/>
      <c r="B66"/>
      <c r="C66"/>
      <c r="D66"/>
      <c r="E66"/>
      <c r="F66"/>
      <c r="G66"/>
      <c r="H66"/>
      <c r="I66"/>
      <c r="J66"/>
      <c r="K66"/>
      <c r="L66"/>
      <c r="M66"/>
      <c r="N66" s="8"/>
      <c r="O66" s="8"/>
      <c r="P66" s="8"/>
      <c r="Q66" s="8"/>
      <c r="R66" s="8"/>
      <c r="S66" s="8"/>
      <c r="T66" s="8"/>
      <c r="U66" s="8"/>
      <c r="AB66" s="8"/>
      <c r="AC66" s="8"/>
    </row>
    <row r="67" spans="1:29" s="8" customFormat="1" ht="21.6" thickBot="1" x14ac:dyDescent="0.45">
      <c r="A67" s="663"/>
      <c r="B67" s="953" t="s">
        <v>368</v>
      </c>
      <c r="C67" s="954"/>
      <c r="D67" s="954"/>
      <c r="E67" s="955"/>
      <c r="F67"/>
      <c r="G67"/>
      <c r="H67"/>
      <c r="I67"/>
      <c r="J67"/>
      <c r="K67"/>
      <c r="L67" s="956" t="s">
        <v>271</v>
      </c>
      <c r="M67" s="956"/>
      <c r="AB67"/>
      <c r="AC67"/>
    </row>
    <row r="68" spans="1:29" s="8" customFormat="1" ht="21" x14ac:dyDescent="0.4">
      <c r="A68" s="663"/>
      <c r="B68" s="470"/>
      <c r="C68" s="470"/>
      <c r="D68" s="470"/>
      <c r="E68" s="470"/>
      <c r="F68" s="534"/>
      <c r="G68" s="534"/>
      <c r="H68" s="534"/>
      <c r="I68" s="534"/>
      <c r="J68" s="534"/>
      <c r="K68" s="534"/>
      <c r="L68" s="565"/>
      <c r="M68" s="565"/>
      <c r="AB68"/>
      <c r="AC68"/>
    </row>
    <row r="69" spans="1:29" ht="15.6" x14ac:dyDescent="0.3">
      <c r="B69" s="113" t="s">
        <v>272</v>
      </c>
      <c r="C69" s="65"/>
      <c r="D69" s="65"/>
      <c r="E69" s="65"/>
      <c r="F69" s="959" t="s">
        <v>159</v>
      </c>
      <c r="G69" s="959"/>
      <c r="H69" s="959" t="s">
        <v>158</v>
      </c>
      <c r="I69" s="959"/>
      <c r="J69" s="959" t="s">
        <v>324</v>
      </c>
      <c r="K69" s="959"/>
      <c r="L69" s="143"/>
      <c r="M69" s="67"/>
    </row>
    <row r="70" spans="1:29" ht="13.8" thickBot="1" x14ac:dyDescent="0.3">
      <c r="B70" s="69"/>
      <c r="C70" s="65"/>
      <c r="D70" s="65"/>
      <c r="E70" s="65"/>
      <c r="F70" s="65"/>
      <c r="G70" s="65"/>
      <c r="H70" s="65"/>
      <c r="I70" s="65"/>
      <c r="J70" s="67"/>
      <c r="K70" s="67"/>
      <c r="L70" s="67"/>
      <c r="M70" s="67"/>
    </row>
    <row r="71" spans="1:29" ht="13.8" thickBot="1" x14ac:dyDescent="0.3">
      <c r="B71" s="69"/>
      <c r="C71" s="65" t="s">
        <v>219</v>
      </c>
      <c r="D71" s="65"/>
      <c r="E71" s="65"/>
      <c r="F71" s="96">
        <v>270</v>
      </c>
      <c r="G71" s="65" t="s">
        <v>1</v>
      </c>
      <c r="H71" s="96">
        <v>0.45</v>
      </c>
      <c r="I71" s="70" t="s">
        <v>6</v>
      </c>
      <c r="J71" s="235">
        <f>F71*H71</f>
        <v>121.5</v>
      </c>
      <c r="K71" s="65" t="s">
        <v>14</v>
      </c>
      <c r="L71" s="67"/>
      <c r="M71" s="67"/>
      <c r="AB71" s="8"/>
      <c r="AC71" s="8"/>
    </row>
    <row r="72" spans="1:29" ht="13.8" thickBot="1" x14ac:dyDescent="0.3">
      <c r="B72" s="65"/>
      <c r="C72" s="66" t="s">
        <v>499</v>
      </c>
      <c r="D72" s="67"/>
      <c r="E72" s="65"/>
      <c r="F72" s="96"/>
      <c r="G72" s="65" t="s">
        <v>1</v>
      </c>
      <c r="H72" s="96"/>
      <c r="I72" s="70" t="s">
        <v>6</v>
      </c>
      <c r="J72" s="235">
        <f>F72*H72</f>
        <v>0</v>
      </c>
      <c r="K72" s="65" t="s">
        <v>14</v>
      </c>
      <c r="L72" s="65"/>
      <c r="M72" s="67"/>
    </row>
    <row r="73" spans="1:29" s="8" customFormat="1" x14ac:dyDescent="0.25">
      <c r="A73" s="663"/>
      <c r="B73" s="71"/>
      <c r="C73" s="71" t="s">
        <v>196</v>
      </c>
      <c r="D73" s="572"/>
      <c r="E73" s="71"/>
      <c r="F73" s="277"/>
      <c r="G73" s="573"/>
      <c r="H73" s="574"/>
      <c r="I73" s="279"/>
      <c r="J73" s="280"/>
      <c r="K73" s="71"/>
      <c r="L73" s="71"/>
      <c r="M73" s="71"/>
    </row>
    <row r="74" spans="1:29" ht="17.399999999999999" x14ac:dyDescent="0.3">
      <c r="B74" s="535"/>
      <c r="C74" s="535"/>
      <c r="D74" s="569"/>
      <c r="E74" s="535"/>
      <c r="F74" s="570"/>
      <c r="G74" s="535"/>
      <c r="H74" s="307"/>
      <c r="I74" s="537"/>
      <c r="J74" s="571"/>
      <c r="K74" s="535"/>
      <c r="L74" s="534"/>
      <c r="M74" s="534"/>
      <c r="AB74" s="77"/>
      <c r="AC74" s="77"/>
    </row>
    <row r="75" spans="1:29" s="8" customFormat="1" ht="17.399999999999999" x14ac:dyDescent="0.3">
      <c r="A75" s="663"/>
      <c r="B75" s="120" t="s">
        <v>275</v>
      </c>
      <c r="C75" s="121"/>
      <c r="D75" s="121"/>
      <c r="E75" s="121"/>
      <c r="F75" s="960" t="s">
        <v>159</v>
      </c>
      <c r="G75" s="960"/>
      <c r="H75" s="960" t="s">
        <v>158</v>
      </c>
      <c r="I75" s="960"/>
      <c r="J75" s="960" t="s">
        <v>324</v>
      </c>
      <c r="K75" s="960"/>
      <c r="L75" s="123"/>
      <c r="M75" s="123"/>
      <c r="AB75" s="77"/>
      <c r="AC75" s="77"/>
    </row>
    <row r="76" spans="1:29" s="77" customFormat="1" ht="18" thickBot="1" x14ac:dyDescent="0.35">
      <c r="A76" s="665"/>
      <c r="B76" s="121"/>
      <c r="C76" s="121"/>
      <c r="D76" s="121"/>
      <c r="E76" s="121"/>
      <c r="F76" s="121"/>
      <c r="G76" s="121"/>
      <c r="H76" s="122"/>
      <c r="I76" s="122"/>
      <c r="J76" s="123"/>
      <c r="K76" s="123"/>
      <c r="L76" s="123"/>
      <c r="M76" s="123"/>
      <c r="N76" s="8"/>
      <c r="O76" s="8"/>
      <c r="P76" s="8"/>
      <c r="Q76" s="8"/>
      <c r="R76" s="8"/>
      <c r="S76" s="8"/>
      <c r="T76" s="8"/>
      <c r="U76" s="8"/>
      <c r="AB76"/>
      <c r="AC76"/>
    </row>
    <row r="77" spans="1:29" s="77" customFormat="1" ht="18" thickBot="1" x14ac:dyDescent="0.35">
      <c r="A77" s="665"/>
      <c r="B77" s="121"/>
      <c r="C77" s="121" t="s">
        <v>76</v>
      </c>
      <c r="D77" s="121"/>
      <c r="E77" s="121"/>
      <c r="F77" s="96">
        <v>370</v>
      </c>
      <c r="G77" s="121" t="s">
        <v>21</v>
      </c>
      <c r="H77" s="99">
        <v>0.41</v>
      </c>
      <c r="I77" s="122" t="s">
        <v>6</v>
      </c>
      <c r="J77" s="124">
        <f t="shared" ref="J77:J78" si="6">F77*H77</f>
        <v>151.69999999999999</v>
      </c>
      <c r="K77" s="121" t="s">
        <v>14</v>
      </c>
      <c r="L77" s="123"/>
      <c r="M77" s="123"/>
      <c r="AB77" s="91"/>
      <c r="AC77" s="91"/>
    </row>
    <row r="78" spans="1:29" ht="15.6" thickBot="1" x14ac:dyDescent="0.3">
      <c r="B78" s="121"/>
      <c r="C78" s="121" t="s">
        <v>280</v>
      </c>
      <c r="D78" s="121"/>
      <c r="E78" s="121"/>
      <c r="F78" s="96"/>
      <c r="G78" s="121" t="s">
        <v>21</v>
      </c>
      <c r="H78" s="99"/>
      <c r="I78" s="122" t="s">
        <v>6</v>
      </c>
      <c r="J78" s="124">
        <f t="shared" si="6"/>
        <v>0</v>
      </c>
      <c r="K78" s="121" t="s">
        <v>14</v>
      </c>
      <c r="L78" s="123"/>
      <c r="M78" s="123"/>
      <c r="N78" s="91"/>
      <c r="O78" s="91"/>
      <c r="P78" s="91"/>
      <c r="Q78" s="91"/>
      <c r="R78" s="91"/>
      <c r="S78" s="91"/>
      <c r="T78" s="91"/>
      <c r="U78" s="91"/>
      <c r="AB78" s="8"/>
      <c r="AC78" s="8"/>
    </row>
    <row r="79" spans="1:29" s="91" customFormat="1" ht="17.399999999999999" x14ac:dyDescent="0.3">
      <c r="A79" s="664"/>
      <c r="B79" s="270"/>
      <c r="C79" s="270" t="s">
        <v>196</v>
      </c>
      <c r="D79" s="270"/>
      <c r="E79" s="270"/>
      <c r="F79" s="270"/>
      <c r="G79" s="270"/>
      <c r="H79" s="270"/>
      <c r="I79" s="271"/>
      <c r="J79" s="272">
        <f>SUM(J77:J78)</f>
        <v>151.69999999999999</v>
      </c>
      <c r="K79" s="270" t="s">
        <v>14</v>
      </c>
      <c r="L79" s="270"/>
      <c r="M79" s="270"/>
      <c r="N79" s="77"/>
      <c r="O79" s="77"/>
      <c r="P79" s="77"/>
      <c r="Q79" s="77"/>
      <c r="R79" s="77"/>
      <c r="S79" s="77"/>
      <c r="T79" s="77"/>
      <c r="U79" s="77"/>
      <c r="AB79" s="8"/>
      <c r="AC79" s="8"/>
    </row>
    <row r="80" spans="1:29" s="8" customFormat="1" x14ac:dyDescent="0.25">
      <c r="A80" s="663"/>
      <c r="B80" s="121"/>
      <c r="C80" s="121"/>
      <c r="D80" s="121"/>
      <c r="E80" s="121"/>
      <c r="F80" s="121"/>
      <c r="G80" s="121"/>
      <c r="H80" s="121"/>
      <c r="I80" s="122"/>
      <c r="J80" s="124"/>
      <c r="K80" s="121"/>
      <c r="L80" s="123"/>
      <c r="M80" s="123"/>
      <c r="N80"/>
      <c r="O80"/>
      <c r="P80"/>
      <c r="Q80"/>
      <c r="R80"/>
      <c r="S80"/>
      <c r="T80"/>
      <c r="U80"/>
    </row>
    <row r="81" spans="1:29" s="8" customFormat="1" ht="15" x14ac:dyDescent="0.25">
      <c r="A81" s="663"/>
      <c r="B81"/>
      <c r="C81"/>
      <c r="D81"/>
      <c r="E81"/>
      <c r="F81"/>
      <c r="G81"/>
      <c r="H81"/>
      <c r="I81"/>
      <c r="J81"/>
      <c r="K81"/>
      <c r="L81"/>
      <c r="M81"/>
      <c r="N81" s="91"/>
      <c r="O81" s="91"/>
      <c r="P81" s="91"/>
      <c r="Q81" s="91"/>
      <c r="R81" s="91"/>
      <c r="S81" s="91"/>
      <c r="T81" s="91"/>
      <c r="U81" s="91"/>
      <c r="AB81"/>
      <c r="AC81"/>
    </row>
    <row r="82" spans="1:29" s="8" customFormat="1" ht="15.6" x14ac:dyDescent="0.3">
      <c r="A82" s="663"/>
      <c r="B82" s="109" t="s">
        <v>282</v>
      </c>
      <c r="C82" s="72"/>
      <c r="D82" s="72"/>
      <c r="E82" s="72"/>
      <c r="F82" s="957" t="s">
        <v>159</v>
      </c>
      <c r="G82" s="957"/>
      <c r="H82" s="958" t="s">
        <v>158</v>
      </c>
      <c r="I82" s="958"/>
      <c r="J82" s="957" t="s">
        <v>324</v>
      </c>
      <c r="K82" s="957"/>
      <c r="L82" s="79"/>
      <c r="M82" s="79"/>
      <c r="AB82"/>
      <c r="AC82"/>
    </row>
    <row r="83" spans="1:29" x14ac:dyDescent="0.25">
      <c r="B83" s="72"/>
      <c r="C83" s="72"/>
      <c r="D83" s="72"/>
      <c r="E83" s="72"/>
      <c r="F83" s="74"/>
      <c r="G83" s="74"/>
      <c r="H83" s="73"/>
      <c r="I83" s="73"/>
      <c r="J83" s="73"/>
      <c r="K83" s="79"/>
      <c r="L83" s="79"/>
      <c r="M83" s="79"/>
      <c r="N83" s="8"/>
      <c r="O83" s="8"/>
      <c r="P83" s="8"/>
      <c r="Q83" s="8"/>
      <c r="R83" s="8"/>
      <c r="S83" s="8"/>
      <c r="T83" s="8"/>
      <c r="U83" s="8"/>
    </row>
    <row r="84" spans="1:29" ht="15.6" x14ac:dyDescent="0.3">
      <c r="B84" s="109"/>
      <c r="C84" s="72"/>
      <c r="D84" s="462" t="s">
        <v>364</v>
      </c>
      <c r="E84" s="72"/>
      <c r="F84" s="478"/>
      <c r="G84" s="478"/>
      <c r="H84" s="475"/>
      <c r="I84" s="475"/>
      <c r="J84" s="478"/>
      <c r="K84" s="478"/>
      <c r="L84" s="79"/>
      <c r="M84" s="79"/>
    </row>
    <row r="85" spans="1:29" x14ac:dyDescent="0.25">
      <c r="B85" s="214" t="s">
        <v>357</v>
      </c>
      <c r="C85" s="72"/>
      <c r="D85" s="72"/>
      <c r="E85" s="72"/>
      <c r="F85" s="74"/>
      <c r="G85" s="74"/>
      <c r="H85" s="73"/>
      <c r="I85" s="73"/>
      <c r="J85" s="79"/>
      <c r="K85" s="79"/>
      <c r="L85" s="79"/>
      <c r="M85" s="79"/>
    </row>
    <row r="86" spans="1:29" ht="13.8" thickBot="1" x14ac:dyDescent="0.3">
      <c r="B86" s="214"/>
      <c r="C86" s="72"/>
      <c r="D86" s="72"/>
      <c r="E86" s="72"/>
      <c r="F86" s="74"/>
      <c r="G86" s="74"/>
      <c r="H86" s="73"/>
      <c r="I86" s="73"/>
      <c r="J86" s="79"/>
      <c r="K86" s="79"/>
      <c r="L86" s="79"/>
      <c r="M86" s="79"/>
    </row>
    <row r="87" spans="1:29" ht="13.8" thickBot="1" x14ac:dyDescent="0.3">
      <c r="B87" s="72"/>
      <c r="C87" s="72" t="s">
        <v>77</v>
      </c>
      <c r="D87" s="79"/>
      <c r="E87" s="72"/>
      <c r="F87" s="119">
        <v>0.8</v>
      </c>
      <c r="G87" s="74" t="s">
        <v>20</v>
      </c>
      <c r="H87" s="99">
        <v>15.32</v>
      </c>
      <c r="I87" s="73" t="s">
        <v>5</v>
      </c>
      <c r="J87" s="568">
        <f t="shared" ref="J87:J91" si="7">F87*H87</f>
        <v>12.256</v>
      </c>
      <c r="K87" s="72" t="s">
        <v>14</v>
      </c>
      <c r="L87" s="79"/>
      <c r="M87" s="79"/>
    </row>
    <row r="88" spans="1:29" ht="13.8" thickBot="1" x14ac:dyDescent="0.3">
      <c r="B88" s="72"/>
      <c r="C88" s="72" t="s">
        <v>78</v>
      </c>
      <c r="D88" s="72"/>
      <c r="E88" s="72"/>
      <c r="F88" s="119">
        <v>7.5</v>
      </c>
      <c r="G88" s="74" t="s">
        <v>62</v>
      </c>
      <c r="H88" s="99">
        <v>2.15</v>
      </c>
      <c r="I88" s="73" t="s">
        <v>63</v>
      </c>
      <c r="J88" s="568">
        <f t="shared" si="7"/>
        <v>16.125</v>
      </c>
      <c r="K88" s="72" t="s">
        <v>14</v>
      </c>
      <c r="L88" s="79"/>
      <c r="M88" s="79"/>
    </row>
    <row r="89" spans="1:29" ht="13.8" thickBot="1" x14ac:dyDescent="0.3">
      <c r="B89" s="72"/>
      <c r="C89" s="72" t="s">
        <v>79</v>
      </c>
      <c r="D89" s="72"/>
      <c r="E89" s="72"/>
      <c r="F89" s="119">
        <v>0.3</v>
      </c>
      <c r="G89" s="74" t="s">
        <v>62</v>
      </c>
      <c r="H89" s="99">
        <v>42.34</v>
      </c>
      <c r="I89" s="73" t="s">
        <v>5</v>
      </c>
      <c r="J89" s="568">
        <f t="shared" si="7"/>
        <v>12.702</v>
      </c>
      <c r="K89" s="72" t="s">
        <v>14</v>
      </c>
      <c r="L89" s="79"/>
      <c r="M89" s="79"/>
    </row>
    <row r="90" spans="1:29" ht="13.8" thickBot="1" x14ac:dyDescent="0.3">
      <c r="B90" s="72"/>
      <c r="C90" s="72" t="s">
        <v>326</v>
      </c>
      <c r="D90" s="72"/>
      <c r="E90" s="72"/>
      <c r="F90" s="119"/>
      <c r="G90" s="74" t="s">
        <v>20</v>
      </c>
      <c r="H90" s="99"/>
      <c r="I90" s="73" t="s">
        <v>5</v>
      </c>
      <c r="J90" s="568">
        <f t="shared" si="7"/>
        <v>0</v>
      </c>
      <c r="K90" s="72" t="s">
        <v>14</v>
      </c>
      <c r="L90" s="79"/>
      <c r="M90" s="79"/>
    </row>
    <row r="91" spans="1:29" ht="13.8" thickBot="1" x14ac:dyDescent="0.3">
      <c r="B91" s="72"/>
      <c r="C91" s="72" t="s">
        <v>326</v>
      </c>
      <c r="D91" s="72"/>
      <c r="E91" s="72"/>
      <c r="F91" s="119"/>
      <c r="G91" s="74" t="s">
        <v>20</v>
      </c>
      <c r="H91" s="99"/>
      <c r="I91" s="73" t="s">
        <v>5</v>
      </c>
      <c r="J91" s="568">
        <f t="shared" si="7"/>
        <v>0</v>
      </c>
      <c r="K91" s="72" t="s">
        <v>14</v>
      </c>
      <c r="L91" s="79"/>
      <c r="M91" s="79"/>
    </row>
    <row r="92" spans="1:29" x14ac:dyDescent="0.25">
      <c r="B92" s="72"/>
      <c r="C92" s="72"/>
      <c r="D92" s="72"/>
      <c r="E92" s="72"/>
      <c r="F92" s="212"/>
      <c r="G92" s="74"/>
      <c r="H92" s="213"/>
      <c r="I92" s="73"/>
      <c r="J92" s="79"/>
      <c r="K92" s="72"/>
      <c r="L92" s="79"/>
      <c r="M92" s="79"/>
    </row>
    <row r="93" spans="1:29" ht="13.8" thickBot="1" x14ac:dyDescent="0.3">
      <c r="B93" s="214" t="s">
        <v>358</v>
      </c>
      <c r="C93" s="72"/>
      <c r="D93" s="72"/>
      <c r="E93" s="72"/>
      <c r="F93" s="212"/>
      <c r="G93" s="74"/>
      <c r="H93" s="213"/>
      <c r="I93" s="73"/>
      <c r="J93" s="79"/>
      <c r="K93" s="72"/>
      <c r="L93" s="79"/>
      <c r="M93" s="79"/>
    </row>
    <row r="94" spans="1:29" ht="13.8" thickBot="1" x14ac:dyDescent="0.3">
      <c r="B94" s="72"/>
      <c r="C94" s="72" t="s">
        <v>326</v>
      </c>
      <c r="D94" s="72"/>
      <c r="E94" s="72"/>
      <c r="F94" s="119"/>
      <c r="G94" s="74" t="s">
        <v>20</v>
      </c>
      <c r="H94" s="119"/>
      <c r="I94" s="73" t="s">
        <v>5</v>
      </c>
      <c r="J94" s="79">
        <f t="shared" ref="J94:J96" si="8">F94*H94</f>
        <v>0</v>
      </c>
      <c r="K94" s="72" t="s">
        <v>14</v>
      </c>
      <c r="L94" s="79"/>
      <c r="M94" s="79"/>
    </row>
    <row r="95" spans="1:29" ht="13.8" thickBot="1" x14ac:dyDescent="0.3">
      <c r="B95" s="72"/>
      <c r="C95" s="72" t="s">
        <v>326</v>
      </c>
      <c r="D95" s="72"/>
      <c r="E95" s="72"/>
      <c r="F95" s="119"/>
      <c r="G95" s="74" t="s">
        <v>20</v>
      </c>
      <c r="H95" s="119"/>
      <c r="I95" s="73" t="s">
        <v>5</v>
      </c>
      <c r="J95" s="79">
        <f t="shared" si="8"/>
        <v>0</v>
      </c>
      <c r="K95" s="72" t="s">
        <v>14</v>
      </c>
      <c r="L95" s="79"/>
      <c r="M95" s="79"/>
      <c r="AB95" s="8"/>
      <c r="AC95" s="8"/>
    </row>
    <row r="96" spans="1:29" ht="13.8" thickBot="1" x14ac:dyDescent="0.3">
      <c r="B96" s="72"/>
      <c r="C96" s="72" t="s">
        <v>326</v>
      </c>
      <c r="D96" s="72"/>
      <c r="E96" s="72"/>
      <c r="F96" s="119"/>
      <c r="G96" s="74" t="s">
        <v>20</v>
      </c>
      <c r="H96" s="119"/>
      <c r="I96" s="73" t="s">
        <v>5</v>
      </c>
      <c r="J96" s="79">
        <f t="shared" si="8"/>
        <v>0</v>
      </c>
      <c r="K96" s="72" t="s">
        <v>14</v>
      </c>
      <c r="L96" s="79"/>
      <c r="M96" s="79"/>
    </row>
    <row r="97" spans="1:29" s="8" customFormat="1" x14ac:dyDescent="0.25">
      <c r="A97" s="663"/>
      <c r="B97" s="241"/>
      <c r="C97" s="241" t="s">
        <v>196</v>
      </c>
      <c r="D97" s="241"/>
      <c r="E97" s="241"/>
      <c r="F97" s="273"/>
      <c r="G97" s="242"/>
      <c r="H97" s="273"/>
      <c r="I97" s="243"/>
      <c r="J97" s="243">
        <f>SUM(J87:J96)</f>
        <v>41.082999999999998</v>
      </c>
      <c r="K97" s="241" t="s">
        <v>14</v>
      </c>
      <c r="L97" s="241"/>
      <c r="M97" s="241"/>
      <c r="AB97"/>
      <c r="AC97"/>
    </row>
    <row r="98" spans="1:29" x14ac:dyDescent="0.25">
      <c r="B98" s="72"/>
      <c r="C98" s="72"/>
      <c r="D98" s="72"/>
      <c r="E98" s="72"/>
      <c r="F98" s="74"/>
      <c r="G98" s="74"/>
      <c r="H98" s="73"/>
      <c r="I98" s="73"/>
      <c r="J98" s="79"/>
      <c r="K98" s="72"/>
      <c r="L98" s="79"/>
      <c r="M98" s="79"/>
    </row>
    <row r="99" spans="1:29" x14ac:dyDescent="0.25">
      <c r="A99" s="668"/>
      <c r="N99" s="5"/>
      <c r="O99" s="5"/>
    </row>
    <row r="100" spans="1:29" ht="15.6" x14ac:dyDescent="0.3">
      <c r="A100" s="668"/>
      <c r="B100" s="219" t="s">
        <v>293</v>
      </c>
      <c r="C100" s="220"/>
      <c r="D100" s="220"/>
      <c r="E100" s="220"/>
      <c r="F100" s="964" t="s">
        <v>159</v>
      </c>
      <c r="G100" s="964"/>
      <c r="H100" s="964" t="s">
        <v>158</v>
      </c>
      <c r="I100" s="964"/>
      <c r="J100" s="964" t="s">
        <v>324</v>
      </c>
      <c r="K100" s="964"/>
      <c r="L100" s="222"/>
      <c r="M100" s="222"/>
      <c r="N100" s="5"/>
    </row>
    <row r="101" spans="1:29" ht="13.8" thickBot="1" x14ac:dyDescent="0.3">
      <c r="A101" s="668"/>
      <c r="B101" s="220"/>
      <c r="C101" s="220"/>
      <c r="D101" s="220"/>
      <c r="E101" s="220"/>
      <c r="F101" s="220"/>
      <c r="G101" s="220"/>
      <c r="H101" s="221"/>
      <c r="I101" s="221"/>
      <c r="J101" s="222"/>
      <c r="K101" s="222"/>
      <c r="L101" s="222"/>
      <c r="M101" s="222"/>
      <c r="N101" s="5"/>
    </row>
    <row r="102" spans="1:29" ht="13.8" thickBot="1" x14ac:dyDescent="0.3">
      <c r="A102" s="668"/>
      <c r="B102" s="220"/>
      <c r="C102" s="220" t="s">
        <v>632</v>
      </c>
      <c r="D102" s="222"/>
      <c r="E102" s="220"/>
      <c r="F102" s="96">
        <v>1</v>
      </c>
      <c r="G102" s="220" t="s">
        <v>0</v>
      </c>
      <c r="H102" s="99">
        <v>80</v>
      </c>
      <c r="I102" s="221" t="s">
        <v>14</v>
      </c>
      <c r="J102" s="223">
        <f t="shared" ref="J102:J105" si="9">F102*H102</f>
        <v>80</v>
      </c>
      <c r="K102" s="220" t="s">
        <v>14</v>
      </c>
      <c r="L102" s="222"/>
      <c r="M102" s="222"/>
      <c r="N102" s="5"/>
    </row>
    <row r="103" spans="1:29" ht="13.8" thickBot="1" x14ac:dyDescent="0.3">
      <c r="A103" s="668"/>
      <c r="B103" s="220"/>
      <c r="C103" s="220" t="s">
        <v>633</v>
      </c>
      <c r="D103" s="222"/>
      <c r="E103" s="220"/>
      <c r="F103" s="98">
        <v>1</v>
      </c>
      <c r="G103" s="220" t="s">
        <v>0</v>
      </c>
      <c r="H103" s="98">
        <f>45*7</f>
        <v>315</v>
      </c>
      <c r="I103" s="221" t="s">
        <v>14</v>
      </c>
      <c r="J103" s="223">
        <f t="shared" si="9"/>
        <v>315</v>
      </c>
      <c r="K103" s="220" t="s">
        <v>14</v>
      </c>
      <c r="L103" s="222"/>
      <c r="M103" s="222"/>
      <c r="N103" s="5"/>
    </row>
    <row r="104" spans="1:29" ht="13.8" thickBot="1" x14ac:dyDescent="0.3">
      <c r="B104" s="220"/>
      <c r="C104" s="220" t="s">
        <v>294</v>
      </c>
      <c r="D104" s="220"/>
      <c r="E104" s="220"/>
      <c r="F104" s="96"/>
      <c r="G104" s="220" t="s">
        <v>0</v>
      </c>
      <c r="H104" s="99"/>
      <c r="I104" s="221" t="s">
        <v>14</v>
      </c>
      <c r="J104" s="223">
        <f t="shared" si="9"/>
        <v>0</v>
      </c>
      <c r="K104" s="220" t="s">
        <v>14</v>
      </c>
      <c r="L104" s="222"/>
      <c r="M104" s="222"/>
      <c r="AB104" s="8"/>
      <c r="AC104" s="8"/>
    </row>
    <row r="105" spans="1:29" ht="13.8" thickBot="1" x14ac:dyDescent="0.3">
      <c r="B105" s="220"/>
      <c r="C105" s="220" t="s">
        <v>294</v>
      </c>
      <c r="D105" s="220"/>
      <c r="E105" s="220"/>
      <c r="F105" s="96"/>
      <c r="G105" s="220" t="s">
        <v>0</v>
      </c>
      <c r="H105" s="99"/>
      <c r="I105" s="221" t="s">
        <v>14</v>
      </c>
      <c r="J105" s="223">
        <f t="shared" si="9"/>
        <v>0</v>
      </c>
      <c r="K105" s="220" t="s">
        <v>14</v>
      </c>
      <c r="L105" s="222"/>
      <c r="M105" s="222"/>
    </row>
    <row r="106" spans="1:29" s="8" customFormat="1" x14ac:dyDescent="0.25">
      <c r="A106" s="663"/>
      <c r="B106" s="255"/>
      <c r="C106" s="255" t="s">
        <v>196</v>
      </c>
      <c r="D106" s="255"/>
      <c r="E106" s="255"/>
      <c r="F106" s="256"/>
      <c r="G106" s="255"/>
      <c r="H106" s="257"/>
      <c r="I106" s="258"/>
      <c r="J106" s="259">
        <f>SUM(J102:J105)</f>
        <v>395</v>
      </c>
      <c r="K106" s="255" t="s">
        <v>14</v>
      </c>
      <c r="L106" s="255"/>
      <c r="M106" s="255"/>
      <c r="N106"/>
      <c r="O106"/>
      <c r="P106"/>
      <c r="Q106"/>
      <c r="R106"/>
      <c r="S106"/>
      <c r="T106"/>
      <c r="U106"/>
      <c r="AB106"/>
      <c r="AC106"/>
    </row>
    <row r="107" spans="1:29" x14ac:dyDescent="0.25">
      <c r="B107" s="220"/>
      <c r="C107" s="220"/>
      <c r="D107" s="220"/>
      <c r="E107" s="220"/>
      <c r="F107" s="220"/>
      <c r="G107" s="220"/>
      <c r="H107" s="221"/>
      <c r="I107" s="221"/>
      <c r="J107" s="223"/>
      <c r="K107" s="220"/>
      <c r="L107" s="222"/>
      <c r="M107" s="222"/>
    </row>
    <row r="108" spans="1:29" ht="30" customHeight="1" x14ac:dyDescent="0.25">
      <c r="N108" s="8"/>
      <c r="O108" s="8"/>
      <c r="P108" s="8"/>
      <c r="Q108" s="8"/>
      <c r="R108" s="8"/>
      <c r="S108" s="8"/>
      <c r="T108" s="8"/>
      <c r="U108" s="8"/>
    </row>
    <row r="109" spans="1:29" ht="15.6" x14ac:dyDescent="0.3">
      <c r="B109" s="225" t="s">
        <v>637</v>
      </c>
      <c r="C109" s="226"/>
      <c r="D109" s="226"/>
      <c r="E109" s="227"/>
      <c r="F109" s="226" t="s">
        <v>159</v>
      </c>
      <c r="G109" s="228"/>
      <c r="H109" s="228" t="s">
        <v>158</v>
      </c>
      <c r="I109" s="226"/>
      <c r="J109" s="226" t="s">
        <v>324</v>
      </c>
      <c r="K109" s="229"/>
      <c r="L109" s="229"/>
      <c r="M109" s="229"/>
    </row>
    <row r="110" spans="1:29" ht="16.2" thickBot="1" x14ac:dyDescent="0.35">
      <c r="B110" s="225"/>
      <c r="C110" s="226"/>
      <c r="D110" s="226"/>
      <c r="E110" s="227"/>
      <c r="F110" s="226"/>
      <c r="G110" s="228"/>
      <c r="H110" s="228"/>
      <c r="I110" s="226"/>
      <c r="J110" s="226"/>
      <c r="K110" s="229"/>
      <c r="L110" s="229"/>
      <c r="M110" s="229"/>
    </row>
    <row r="111" spans="1:29" ht="13.8" thickBot="1" x14ac:dyDescent="0.3">
      <c r="B111" s="226"/>
      <c r="C111" s="226" t="s">
        <v>296</v>
      </c>
      <c r="D111" s="229"/>
      <c r="E111" s="230"/>
      <c r="F111" s="96"/>
      <c r="G111" s="231" t="s">
        <v>18</v>
      </c>
      <c r="H111" s="96"/>
      <c r="I111" s="232" t="s">
        <v>10</v>
      </c>
      <c r="J111" s="229">
        <f>H111*F111</f>
        <v>0</v>
      </c>
      <c r="K111" s="232" t="s">
        <v>14</v>
      </c>
      <c r="L111" s="229"/>
      <c r="M111" s="229"/>
    </row>
    <row r="112" spans="1:29" ht="13.8" thickBot="1" x14ac:dyDescent="0.3">
      <c r="B112" s="226"/>
      <c r="C112" s="226" t="s">
        <v>450</v>
      </c>
      <c r="D112" s="232">
        <f>F134/2</f>
        <v>4.5</v>
      </c>
      <c r="E112" s="226" t="s">
        <v>9</v>
      </c>
      <c r="F112" s="96">
        <f>+D112*8</f>
        <v>36</v>
      </c>
      <c r="G112" s="228" t="s">
        <v>20</v>
      </c>
      <c r="H112" s="96">
        <v>0.83</v>
      </c>
      <c r="I112" s="232" t="s">
        <v>5</v>
      </c>
      <c r="J112" s="229">
        <f>H112*F112</f>
        <v>29.88</v>
      </c>
      <c r="K112" s="232" t="s">
        <v>14</v>
      </c>
      <c r="L112" s="229"/>
      <c r="M112" s="229"/>
    </row>
    <row r="113" spans="1:29" ht="13.8" thickBot="1" x14ac:dyDescent="0.3">
      <c r="B113" s="226"/>
      <c r="C113" s="226" t="s">
        <v>298</v>
      </c>
      <c r="D113" s="232">
        <f>D112</f>
        <v>4.5</v>
      </c>
      <c r="E113" s="226" t="s">
        <v>9</v>
      </c>
      <c r="F113" s="96">
        <v>11.88</v>
      </c>
      <c r="G113" s="228" t="s">
        <v>21</v>
      </c>
      <c r="H113" s="96">
        <v>4</v>
      </c>
      <c r="I113" s="232" t="s">
        <v>6</v>
      </c>
      <c r="J113" s="229">
        <f t="shared" ref="J113:J117" si="10">H113*F113</f>
        <v>47.52</v>
      </c>
      <c r="K113" s="232" t="s">
        <v>14</v>
      </c>
      <c r="L113" s="229"/>
      <c r="M113" s="229"/>
    </row>
    <row r="114" spans="1:29" ht="13.8" thickBot="1" x14ac:dyDescent="0.3">
      <c r="B114" s="226"/>
      <c r="C114" s="226" t="s">
        <v>19</v>
      </c>
      <c r="D114" s="229"/>
      <c r="E114" s="232"/>
      <c r="F114" s="96"/>
      <c r="G114" s="228" t="s">
        <v>20</v>
      </c>
      <c r="H114" s="96"/>
      <c r="I114" s="232" t="s">
        <v>5</v>
      </c>
      <c r="J114" s="229">
        <f t="shared" si="10"/>
        <v>0</v>
      </c>
      <c r="K114" s="232" t="s">
        <v>14</v>
      </c>
      <c r="L114" s="229"/>
      <c r="M114" s="229"/>
    </row>
    <row r="115" spans="1:29" ht="13.8" thickBot="1" x14ac:dyDescent="0.3">
      <c r="B115" s="226"/>
      <c r="C115" s="226" t="s">
        <v>300</v>
      </c>
      <c r="D115" s="229"/>
      <c r="E115" s="232"/>
      <c r="F115" s="96"/>
      <c r="G115" s="228" t="s">
        <v>20</v>
      </c>
      <c r="H115" s="96"/>
      <c r="I115" s="232" t="s">
        <v>5</v>
      </c>
      <c r="J115" s="229">
        <f t="shared" si="10"/>
        <v>0</v>
      </c>
      <c r="K115" s="232" t="s">
        <v>14</v>
      </c>
      <c r="L115" s="229"/>
      <c r="M115" s="229"/>
    </row>
    <row r="116" spans="1:29" ht="13.8" thickBot="1" x14ac:dyDescent="0.3">
      <c r="B116" s="226"/>
      <c r="C116" s="226" t="s">
        <v>300</v>
      </c>
      <c r="D116" s="229"/>
      <c r="E116" s="232"/>
      <c r="F116" s="96"/>
      <c r="G116" s="228"/>
      <c r="H116" s="96"/>
      <c r="I116" s="232"/>
      <c r="J116" s="229">
        <f t="shared" si="10"/>
        <v>0</v>
      </c>
      <c r="K116" s="232" t="s">
        <v>14</v>
      </c>
      <c r="L116" s="229"/>
      <c r="M116" s="229"/>
      <c r="AB116" s="8"/>
      <c r="AC116" s="8"/>
    </row>
    <row r="117" spans="1:29" ht="13.8" thickBot="1" x14ac:dyDescent="0.3">
      <c r="B117" s="229"/>
      <c r="C117" s="226" t="s">
        <v>300</v>
      </c>
      <c r="D117" s="229"/>
      <c r="E117" s="229"/>
      <c r="F117" s="96"/>
      <c r="G117" s="229"/>
      <c r="H117" s="96"/>
      <c r="I117" s="229"/>
      <c r="J117" s="229">
        <f t="shared" si="10"/>
        <v>0</v>
      </c>
      <c r="K117" s="232" t="s">
        <v>14</v>
      </c>
      <c r="L117" s="229"/>
      <c r="M117" s="229"/>
    </row>
    <row r="118" spans="1:29" s="8" customFormat="1" x14ac:dyDescent="0.25">
      <c r="A118" s="663"/>
      <c r="B118" s="260"/>
      <c r="C118" s="260" t="s">
        <v>196</v>
      </c>
      <c r="D118" s="260"/>
      <c r="E118" s="260"/>
      <c r="F118" s="261"/>
      <c r="G118" s="260"/>
      <c r="H118" s="261"/>
      <c r="I118" s="260"/>
      <c r="J118" s="260">
        <f>SUM(J111:J117)</f>
        <v>77.400000000000006</v>
      </c>
      <c r="K118" s="262" t="s">
        <v>14</v>
      </c>
      <c r="L118" s="260"/>
      <c r="M118" s="260"/>
      <c r="AB118"/>
      <c r="AC118"/>
    </row>
    <row r="119" spans="1:29" x14ac:dyDescent="0.25">
      <c r="B119" s="229"/>
      <c r="C119" s="229"/>
      <c r="D119" s="229"/>
      <c r="E119" s="229"/>
      <c r="F119" s="229"/>
      <c r="G119" s="229"/>
      <c r="H119" s="229"/>
      <c r="I119" s="229"/>
      <c r="J119" s="229"/>
      <c r="K119" s="229"/>
      <c r="L119" s="229"/>
      <c r="M119" s="229"/>
    </row>
    <row r="121" spans="1:29" ht="15.6" x14ac:dyDescent="0.3">
      <c r="B121" s="112" t="s">
        <v>634</v>
      </c>
      <c r="C121" s="101"/>
      <c r="D121" s="101"/>
      <c r="E121" s="101"/>
      <c r="F121" s="101"/>
      <c r="G121" s="101"/>
      <c r="H121" s="101"/>
      <c r="I121" s="101"/>
      <c r="J121" s="101"/>
      <c r="K121" s="101"/>
      <c r="L121" s="101"/>
      <c r="M121" s="101"/>
    </row>
    <row r="122" spans="1:29" ht="15.6" x14ac:dyDescent="0.3">
      <c r="B122" s="112"/>
      <c r="C122" s="101"/>
      <c r="D122" s="101"/>
      <c r="E122" s="101"/>
      <c r="F122" s="101"/>
      <c r="G122" s="101"/>
      <c r="H122" s="101"/>
      <c r="I122" s="101"/>
      <c r="J122" s="101"/>
      <c r="K122" s="101"/>
      <c r="L122" s="101"/>
      <c r="M122" s="101"/>
      <c r="AB122" s="8"/>
      <c r="AC122" s="8"/>
    </row>
    <row r="123" spans="1:29" ht="15" customHeight="1" x14ac:dyDescent="0.25">
      <c r="B123" s="961" t="s">
        <v>302</v>
      </c>
      <c r="C123" s="961"/>
      <c r="D123" s="961"/>
      <c r="E123" s="961"/>
      <c r="F123" s="961"/>
      <c r="G123" s="961"/>
      <c r="H123" s="961"/>
      <c r="I123" s="961"/>
      <c r="J123" s="961"/>
      <c r="K123" s="961"/>
      <c r="L123" s="961"/>
      <c r="M123" s="961"/>
    </row>
    <row r="124" spans="1:29" s="8" customFormat="1" ht="15.6" x14ac:dyDescent="0.3">
      <c r="A124" s="663"/>
      <c r="B124" s="112"/>
      <c r="C124" s="101"/>
      <c r="D124" s="101"/>
      <c r="E124" s="848"/>
      <c r="F124" s="848"/>
      <c r="G124" s="848"/>
      <c r="H124" s="849"/>
      <c r="I124" s="849"/>
      <c r="J124" s="848"/>
      <c r="K124" s="848"/>
      <c r="L124" s="849"/>
      <c r="M124" s="849"/>
      <c r="N124"/>
      <c r="O124"/>
      <c r="P124"/>
      <c r="Q124"/>
      <c r="R124"/>
      <c r="S124"/>
      <c r="T124"/>
      <c r="U124"/>
      <c r="AB124"/>
      <c r="AC124"/>
    </row>
    <row r="125" spans="1:29" ht="15.6" x14ac:dyDescent="0.3">
      <c r="B125" s="112"/>
      <c r="C125" s="101"/>
      <c r="D125" s="101"/>
      <c r="E125" s="962" t="s">
        <v>303</v>
      </c>
      <c r="F125" s="962"/>
      <c r="G125" s="962"/>
      <c r="H125" s="963" t="s">
        <v>158</v>
      </c>
      <c r="I125" s="963"/>
      <c r="J125" s="963" t="s">
        <v>304</v>
      </c>
      <c r="K125" s="963"/>
      <c r="L125" s="963" t="s">
        <v>158</v>
      </c>
      <c r="M125" s="963"/>
    </row>
    <row r="126" spans="1:29" ht="33" customHeight="1" thickBot="1" x14ac:dyDescent="0.3">
      <c r="B126" s="100"/>
      <c r="C126" s="101"/>
      <c r="D126" s="101"/>
      <c r="E126" s="101"/>
      <c r="F126" s="101"/>
      <c r="G126" s="101"/>
      <c r="H126" s="101"/>
      <c r="I126" s="101"/>
      <c r="J126" s="101"/>
      <c r="K126" s="101"/>
      <c r="L126" s="101"/>
      <c r="M126" s="101"/>
      <c r="N126" s="8"/>
      <c r="O126" s="8"/>
      <c r="P126" s="8"/>
      <c r="Q126" s="8"/>
      <c r="R126" s="8"/>
      <c r="S126" s="8"/>
      <c r="T126" s="8"/>
      <c r="U126" s="8"/>
    </row>
    <row r="127" spans="1:29" ht="13.8" thickBot="1" x14ac:dyDescent="0.3">
      <c r="B127" s="101"/>
      <c r="C127" s="102" t="s">
        <v>307</v>
      </c>
      <c r="D127" s="101"/>
      <c r="E127" s="101"/>
      <c r="F127" s="115">
        <v>2</v>
      </c>
      <c r="G127" s="104" t="s">
        <v>22</v>
      </c>
      <c r="H127" s="117">
        <v>14.5</v>
      </c>
      <c r="I127" s="104" t="s">
        <v>11</v>
      </c>
      <c r="J127" s="116"/>
      <c r="K127" s="104" t="s">
        <v>22</v>
      </c>
      <c r="L127" s="117">
        <v>14.5</v>
      </c>
      <c r="M127" s="104" t="s">
        <v>11</v>
      </c>
    </row>
    <row r="128" spans="1:29" ht="13.8" thickBot="1" x14ac:dyDescent="0.3">
      <c r="B128" s="101"/>
      <c r="C128" s="102" t="s">
        <v>635</v>
      </c>
      <c r="D128" s="101"/>
      <c r="E128" s="101"/>
      <c r="F128" s="115">
        <v>3</v>
      </c>
      <c r="G128" s="104" t="s">
        <v>22</v>
      </c>
      <c r="H128" s="114">
        <f t="shared" ref="H128:H133" si="11">$H$127</f>
        <v>14.5</v>
      </c>
      <c r="I128" s="104" t="s">
        <v>11</v>
      </c>
      <c r="J128" s="116"/>
      <c r="K128" s="104" t="s">
        <v>22</v>
      </c>
      <c r="L128" s="114">
        <f t="shared" ref="L128:L133" si="12">$L$127</f>
        <v>14.5</v>
      </c>
      <c r="M128" s="104" t="s">
        <v>11</v>
      </c>
    </row>
    <row r="129" spans="2:21" ht="13.8" thickBot="1" x14ac:dyDescent="0.3">
      <c r="B129" s="101"/>
      <c r="C129" s="102" t="s">
        <v>311</v>
      </c>
      <c r="D129" s="101"/>
      <c r="E129" s="101"/>
      <c r="F129" s="115">
        <v>2</v>
      </c>
      <c r="G129" s="104" t="s">
        <v>22</v>
      </c>
      <c r="H129" s="114">
        <f t="shared" si="11"/>
        <v>14.5</v>
      </c>
      <c r="I129" s="104" t="s">
        <v>11</v>
      </c>
      <c r="J129" s="116"/>
      <c r="K129" s="104" t="s">
        <v>22</v>
      </c>
      <c r="L129" s="114">
        <f t="shared" si="12"/>
        <v>14.5</v>
      </c>
      <c r="M129" s="104" t="s">
        <v>11</v>
      </c>
    </row>
    <row r="130" spans="2:21" ht="13.8" thickBot="1" x14ac:dyDescent="0.3">
      <c r="B130" s="101"/>
      <c r="C130" s="102" t="s">
        <v>636</v>
      </c>
      <c r="D130" s="101"/>
      <c r="E130" s="101"/>
      <c r="F130" s="115">
        <v>2</v>
      </c>
      <c r="G130" s="104" t="s">
        <v>22</v>
      </c>
      <c r="H130" s="114">
        <f t="shared" si="11"/>
        <v>14.5</v>
      </c>
      <c r="I130" s="104" t="s">
        <v>11</v>
      </c>
      <c r="J130" s="116"/>
      <c r="K130" s="104" t="s">
        <v>22</v>
      </c>
      <c r="L130" s="114">
        <f t="shared" si="12"/>
        <v>14.5</v>
      </c>
      <c r="M130" s="104" t="s">
        <v>11</v>
      </c>
    </row>
    <row r="131" spans="2:21" ht="13.8" thickBot="1" x14ac:dyDescent="0.3">
      <c r="B131" s="101"/>
      <c r="C131" s="102" t="s">
        <v>431</v>
      </c>
      <c r="D131" s="101"/>
      <c r="E131" s="101"/>
      <c r="F131" s="116"/>
      <c r="G131" s="104" t="s">
        <v>22</v>
      </c>
      <c r="H131" s="114">
        <f t="shared" si="11"/>
        <v>14.5</v>
      </c>
      <c r="I131" s="104" t="s">
        <v>11</v>
      </c>
      <c r="J131" s="97"/>
      <c r="K131" s="104" t="s">
        <v>22</v>
      </c>
      <c r="L131" s="114">
        <f t="shared" si="12"/>
        <v>14.5</v>
      </c>
      <c r="M131" s="104" t="s">
        <v>11</v>
      </c>
    </row>
    <row r="132" spans="2:21" ht="13.8" thickBot="1" x14ac:dyDescent="0.3">
      <c r="B132" s="101"/>
      <c r="C132" s="102" t="s">
        <v>431</v>
      </c>
      <c r="D132" s="101"/>
      <c r="E132" s="101"/>
      <c r="F132" s="116"/>
      <c r="G132" s="104" t="s">
        <v>22</v>
      </c>
      <c r="H132" s="114">
        <f t="shared" si="11"/>
        <v>14.5</v>
      </c>
      <c r="I132" s="104" t="s">
        <v>11</v>
      </c>
      <c r="J132" s="97"/>
      <c r="K132" s="104" t="s">
        <v>22</v>
      </c>
      <c r="L132" s="114">
        <f t="shared" si="12"/>
        <v>14.5</v>
      </c>
      <c r="M132" s="104" t="s">
        <v>11</v>
      </c>
    </row>
    <row r="133" spans="2:21" ht="13.8" thickBot="1" x14ac:dyDescent="0.3">
      <c r="B133" s="101"/>
      <c r="C133" s="102" t="s">
        <v>431</v>
      </c>
      <c r="D133" s="103"/>
      <c r="E133" s="103"/>
      <c r="F133" s="97"/>
      <c r="G133" s="104" t="s">
        <v>22</v>
      </c>
      <c r="H133" s="114">
        <f t="shared" si="11"/>
        <v>14.5</v>
      </c>
      <c r="I133" s="104" t="s">
        <v>11</v>
      </c>
      <c r="J133" s="97"/>
      <c r="K133" s="104" t="s">
        <v>22</v>
      </c>
      <c r="L133" s="114">
        <f t="shared" si="12"/>
        <v>14.5</v>
      </c>
      <c r="M133" s="104" t="s">
        <v>11</v>
      </c>
    </row>
    <row r="134" spans="2:21" x14ac:dyDescent="0.25">
      <c r="B134" s="264"/>
      <c r="C134" s="265" t="s">
        <v>196</v>
      </c>
      <c r="D134" s="266"/>
      <c r="E134" s="266"/>
      <c r="F134" s="267">
        <f>SUM(F127:F133)</f>
        <v>9</v>
      </c>
      <c r="G134" s="264" t="s">
        <v>22</v>
      </c>
      <c r="H134" s="268">
        <f>F134*H127</f>
        <v>130.5</v>
      </c>
      <c r="I134" s="264" t="s">
        <v>14</v>
      </c>
      <c r="J134" s="269">
        <f>SUM(J127:J133)</f>
        <v>0</v>
      </c>
      <c r="K134" s="264" t="s">
        <v>22</v>
      </c>
      <c r="L134" s="268">
        <f>J134*L127</f>
        <v>0</v>
      </c>
      <c r="M134" s="264" t="s">
        <v>14</v>
      </c>
    </row>
    <row r="136" spans="2:21" ht="40.049999999999997" customHeight="1" x14ac:dyDescent="0.25">
      <c r="N136" s="8"/>
      <c r="O136" s="8"/>
      <c r="P136" s="8"/>
      <c r="Q136" s="8"/>
      <c r="R136" s="8"/>
      <c r="S136" s="8"/>
      <c r="T136" s="8"/>
      <c r="U136" s="8"/>
    </row>
    <row r="139" spans="2:21" ht="37.950000000000003" customHeight="1" x14ac:dyDescent="0.25"/>
    <row r="149" spans="1:29" x14ac:dyDescent="0.25">
      <c r="AB149" s="8"/>
      <c r="AC149" s="8"/>
    </row>
    <row r="151" spans="1:29" s="8" customFormat="1" x14ac:dyDescent="0.25">
      <c r="A151" s="663"/>
      <c r="B151"/>
      <c r="C151"/>
      <c r="D151"/>
      <c r="E151"/>
      <c r="F151"/>
      <c r="G151"/>
      <c r="H151"/>
      <c r="I151"/>
      <c r="J151"/>
      <c r="K151"/>
      <c r="L151"/>
      <c r="M151"/>
      <c r="N151"/>
      <c r="O151"/>
      <c r="P151"/>
      <c r="Q151"/>
      <c r="R151"/>
      <c r="S151"/>
      <c r="T151"/>
      <c r="U151"/>
      <c r="AB151"/>
      <c r="AC151"/>
    </row>
    <row r="153" spans="1:29" x14ac:dyDescent="0.25">
      <c r="N153" s="8"/>
      <c r="O153" s="8"/>
      <c r="P153" s="8"/>
      <c r="Q153" s="8"/>
      <c r="R153" s="8"/>
      <c r="S153" s="8"/>
      <c r="T153" s="8"/>
      <c r="U153" s="8"/>
    </row>
  </sheetData>
  <mergeCells count="37">
    <mergeCell ref="B2:C2"/>
    <mergeCell ref="B4:L4"/>
    <mergeCell ref="B11:D11"/>
    <mergeCell ref="B55:D55"/>
    <mergeCell ref="B24:E24"/>
    <mergeCell ref="B25:E25"/>
    <mergeCell ref="B26:D26"/>
    <mergeCell ref="B29:C29"/>
    <mergeCell ref="C32:D32"/>
    <mergeCell ref="B36:D36"/>
    <mergeCell ref="C39:D39"/>
    <mergeCell ref="B43:D43"/>
    <mergeCell ref="C46:D46"/>
    <mergeCell ref="B50:C50"/>
    <mergeCell ref="C53:D53"/>
    <mergeCell ref="B60:D60"/>
    <mergeCell ref="B64:D64"/>
    <mergeCell ref="B67:E67"/>
    <mergeCell ref="L67:M67"/>
    <mergeCell ref="F69:G69"/>
    <mergeCell ref="H69:I69"/>
    <mergeCell ref="J69:K69"/>
    <mergeCell ref="B62:D62"/>
    <mergeCell ref="F75:G75"/>
    <mergeCell ref="H75:I75"/>
    <mergeCell ref="J75:K75"/>
    <mergeCell ref="F82:G82"/>
    <mergeCell ref="H82:I82"/>
    <mergeCell ref="J82:K82"/>
    <mergeCell ref="F100:G100"/>
    <mergeCell ref="H100:I100"/>
    <mergeCell ref="J100:K100"/>
    <mergeCell ref="B123:M123"/>
    <mergeCell ref="E125:G125"/>
    <mergeCell ref="H125:I125"/>
    <mergeCell ref="J125:K125"/>
    <mergeCell ref="L125:M125"/>
  </mergeCells>
  <hyperlinks>
    <hyperlink ref="L67" location="'Avomaan mansikka'!B2" display="PALAA SIVUN YLÄLAITAAN" xr:uid="{EF1CF081-AB12-C149-9479-6C4D5DADF109}"/>
    <hyperlink ref="L67:M67" location="Vete!A1" display="TILL SIDANS BÖRJAN" xr:uid="{B815D287-28F6-B741-8410-44D3C9CF261D}"/>
    <hyperlink ref="B2" location="Tilakokonaisuus!A1" display="PALAA ETUSIVULLE" xr:uid="{0E143543-360F-4F6D-9420-535FDFF935B6}"/>
    <hyperlink ref="B2:C2" location="'Gårdens info'!A1" display="TILL FRAMSIDAN" xr:uid="{18896892-3707-4E98-BCA3-84BDB485FEE5}"/>
    <hyperlink ref="B24:E24" location="'Gårdens info'!B140" display="ALLMÄNNA KOSTNADER, vetets andel" xr:uid="{43AB5007-654A-41E8-88FD-5B481DBFA848}"/>
    <hyperlink ref="B29:C29" location="Ägendom!B15" display="BYGGNADER" xr:uid="{202AE922-DC9B-4026-A5C8-53D3DD276456}"/>
    <hyperlink ref="B36:D36" location="Ägendom!B28" display="MASINER OCH UTRUSTNING" xr:uid="{3C3AE66B-7E4C-4719-B610-26953C0FAD1E}"/>
    <hyperlink ref="B43:D43" location="Ägendom!B51" display="LÅNGVARIGA PRODUKTIONSMEDEL" xr:uid="{70FF9E9D-CD53-425D-AF8C-590FC97F7525}"/>
    <hyperlink ref="B50:C50" location="Ägendom!B70" display="TÄCKDIKEN" xr:uid="{A7246163-A689-4A9C-9D99-FE655A5A3E0E}"/>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03AB21-3743-A643-BF4D-CBF4A4C9BF02}">
  <sheetPr>
    <tabColor theme="0" tint="-4.9989318521683403E-2"/>
  </sheetPr>
  <dimension ref="A1:AC153"/>
  <sheetViews>
    <sheetView topLeftCell="L17" workbookViewId="0">
      <selection activeCell="AA35" sqref="AA35"/>
    </sheetView>
  </sheetViews>
  <sheetFormatPr defaultColWidth="11.44140625" defaultRowHeight="13.2" x14ac:dyDescent="0.25"/>
  <cols>
    <col min="1" max="1" width="5.33203125" style="717" customWidth="1"/>
    <col min="3" max="3" width="16.77734375" customWidth="1"/>
    <col min="4" max="4" width="22.6640625" customWidth="1"/>
    <col min="5" max="5" width="12.109375" bestFit="1" customWidth="1"/>
    <col min="6" max="6" width="20.6640625" bestFit="1" customWidth="1"/>
    <col min="7" max="7" width="6.33203125" customWidth="1"/>
    <col min="8" max="8" width="17.77734375" customWidth="1"/>
    <col min="9" max="9" width="6" customWidth="1"/>
    <col min="10" max="10" width="15.109375" customWidth="1"/>
    <col min="11" max="11" width="9.6640625" customWidth="1"/>
    <col min="12" max="12" width="20" customWidth="1"/>
    <col min="13" max="13" width="12.109375" customWidth="1"/>
    <col min="14" max="14" width="9.44140625" customWidth="1"/>
    <col min="15" max="15" width="6.77734375" customWidth="1"/>
    <col min="16" max="16" width="4.44140625" customWidth="1"/>
    <col min="17" max="17" width="15" customWidth="1"/>
    <col min="18" max="18" width="5.109375" customWidth="1"/>
    <col min="19" max="19" width="18.33203125" bestFit="1" customWidth="1"/>
    <col min="28" max="28" width="11.6640625" bestFit="1" customWidth="1"/>
    <col min="29" max="29" width="11" bestFit="1" customWidth="1"/>
  </cols>
  <sheetData>
    <row r="1" spans="1:13" s="717" customFormat="1" ht="22.8" x14ac:dyDescent="0.4">
      <c r="B1" s="724" t="s">
        <v>609</v>
      </c>
    </row>
    <row r="2" spans="1:13" ht="27" customHeight="1" x14ac:dyDescent="0.3">
      <c r="B2" s="976" t="s">
        <v>337</v>
      </c>
      <c r="C2" s="976"/>
      <c r="F2" s="91"/>
      <c r="G2" s="91"/>
      <c r="H2" s="91"/>
    </row>
    <row r="3" spans="1:13" ht="27" customHeight="1" x14ac:dyDescent="0.3">
      <c r="B3" s="693"/>
      <c r="C3" s="693"/>
    </row>
    <row r="4" spans="1:13" ht="69" customHeight="1" x14ac:dyDescent="0.3">
      <c r="B4" s="942" t="s">
        <v>236</v>
      </c>
      <c r="C4" s="942"/>
      <c r="D4" s="942"/>
      <c r="E4" s="942"/>
      <c r="F4" s="942"/>
      <c r="G4" s="942"/>
      <c r="H4" s="942"/>
      <c r="I4" s="942"/>
      <c r="J4" s="942"/>
      <c r="K4" s="942"/>
      <c r="L4" s="942"/>
    </row>
    <row r="5" spans="1:13" ht="27" customHeight="1" thickBot="1" x14ac:dyDescent="0.35">
      <c r="B5" s="693"/>
      <c r="C5" s="693"/>
    </row>
    <row r="6" spans="1:13" ht="27" customHeight="1" x14ac:dyDescent="0.4">
      <c r="B6" s="318" t="s">
        <v>628</v>
      </c>
      <c r="C6" s="282"/>
      <c r="D6" s="283"/>
      <c r="E6" s="283"/>
      <c r="F6" s="283"/>
      <c r="G6" s="283"/>
      <c r="H6" s="283"/>
      <c r="I6" s="283"/>
      <c r="J6" s="283"/>
      <c r="K6" s="283"/>
      <c r="L6" s="283"/>
      <c r="M6" s="284"/>
    </row>
    <row r="7" spans="1:13" ht="27" customHeight="1" x14ac:dyDescent="0.4">
      <c r="B7" s="285"/>
      <c r="C7" s="286"/>
      <c r="D7" s="148"/>
      <c r="E7" s="148"/>
      <c r="F7" s="148"/>
      <c r="G7" s="148"/>
      <c r="H7" s="148"/>
      <c r="I7" s="148"/>
      <c r="J7" s="148"/>
      <c r="K7" s="148"/>
      <c r="L7" s="148"/>
      <c r="M7" s="287"/>
    </row>
    <row r="8" spans="1:13" ht="21" x14ac:dyDescent="0.4">
      <c r="B8" s="319" t="s">
        <v>238</v>
      </c>
      <c r="C8" s="286"/>
      <c r="D8" s="148"/>
      <c r="E8" s="151"/>
      <c r="F8" s="151"/>
      <c r="G8" s="151"/>
      <c r="H8" s="151"/>
      <c r="I8" s="148"/>
      <c r="J8" s="148"/>
      <c r="K8" s="148"/>
      <c r="L8" s="148"/>
      <c r="M8" s="287"/>
    </row>
    <row r="9" spans="1:13" ht="21" customHeight="1" x14ac:dyDescent="0.25">
      <c r="B9" s="288"/>
      <c r="C9" s="289" t="s">
        <v>201</v>
      </c>
      <c r="D9" s="151"/>
      <c r="E9" s="151"/>
      <c r="F9" s="290">
        <f>H9*'Gårdens info'!G34</f>
        <v>0</v>
      </c>
      <c r="G9" s="151" t="s">
        <v>14</v>
      </c>
      <c r="H9" s="362">
        <f>0.24</f>
        <v>0.24</v>
      </c>
      <c r="I9" s="151" t="s">
        <v>6</v>
      </c>
      <c r="J9" s="290">
        <f>F9*'Gårdens info'!D34</f>
        <v>0</v>
      </c>
      <c r="K9" s="151" t="s">
        <v>650</v>
      </c>
      <c r="L9" s="151"/>
      <c r="M9" s="287"/>
    </row>
    <row r="10" spans="1:13" ht="15" x14ac:dyDescent="0.25">
      <c r="B10" s="288"/>
      <c r="C10" s="151" t="s">
        <v>224</v>
      </c>
      <c r="D10" s="151"/>
      <c r="E10" s="151"/>
      <c r="F10" s="290">
        <f>IF('Gårdens info'!D34&gt;0,Stöd!J6/'Gårdens info'!D37*Stöd!L6+Stöd!J7/'Gårdens info'!D37*Stöd!L7+Stöd!J8/'Gårdens info'!D37*Stöd!L8+Stöd!J12/'Gårdens info'!D37*Stöd!L12+Stöd!J13/'Gårdens info'!D37*Stöd!L13+Stöd!J15/'Gårdens info'!D37*Stöd!L15+Stöd!J16/'Gårdens info'!D37*Stöd!L16+Stöd!J18/'Gårdens info'!D37*Stöd!L18+Stöd!J19/'Gårdens info'!D37*Stöd!L19+Stöd!J20/'Gårdens info'!D37*Stöd!L20+Stöd!J21/'Gårdens info'!D37*Stöd!L21,0)</f>
        <v>0</v>
      </c>
      <c r="G10" s="151" t="s">
        <v>14</v>
      </c>
      <c r="H10" s="362">
        <f>IF('Gårdens info'!G34&gt;0,F10/'Gårdens info'!G34,0)</f>
        <v>0</v>
      </c>
      <c r="I10" s="151" t="s">
        <v>6</v>
      </c>
      <c r="J10" s="290">
        <f>F10*'Gårdens info'!D34</f>
        <v>0</v>
      </c>
      <c r="K10" s="151" t="s">
        <v>650</v>
      </c>
      <c r="L10" s="151"/>
      <c r="M10" s="287"/>
    </row>
    <row r="11" spans="1:13" s="8" customFormat="1" ht="21" customHeight="1" x14ac:dyDescent="0.4">
      <c r="A11" s="718"/>
      <c r="B11" s="932" t="s">
        <v>240</v>
      </c>
      <c r="C11" s="933"/>
      <c r="D11" s="933"/>
      <c r="E11" s="324"/>
      <c r="F11" s="328">
        <f>F9+F10</f>
        <v>0</v>
      </c>
      <c r="G11" s="329" t="s">
        <v>14</v>
      </c>
      <c r="H11" s="330">
        <f>H9+H10</f>
        <v>0.24</v>
      </c>
      <c r="I11" s="329" t="s">
        <v>6</v>
      </c>
      <c r="J11" s="331">
        <f>J9+J10</f>
        <v>0</v>
      </c>
      <c r="K11" s="329" t="s">
        <v>650</v>
      </c>
      <c r="L11" s="329"/>
      <c r="M11" s="321"/>
    </row>
    <row r="12" spans="1:13" s="8" customFormat="1" ht="21" x14ac:dyDescent="0.4">
      <c r="A12" s="718"/>
      <c r="B12" s="844"/>
      <c r="C12" s="845"/>
      <c r="D12" s="845"/>
      <c r="E12" s="324"/>
      <c r="F12" s="328"/>
      <c r="G12" s="329"/>
      <c r="H12" s="330"/>
      <c r="I12" s="329"/>
      <c r="J12" s="331"/>
      <c r="K12" s="329"/>
      <c r="L12" s="329"/>
      <c r="M12" s="321"/>
    </row>
    <row r="13" spans="1:13" ht="22.05" customHeight="1" x14ac:dyDescent="0.3">
      <c r="B13" s="292"/>
      <c r="C13" s="286"/>
      <c r="D13" s="148"/>
      <c r="E13" s="148"/>
      <c r="F13" s="148"/>
      <c r="G13" s="148"/>
      <c r="H13" s="148"/>
      <c r="I13" s="148"/>
      <c r="J13" s="293"/>
      <c r="K13" s="148"/>
      <c r="L13" s="148"/>
      <c r="M13" s="287"/>
    </row>
    <row r="14" spans="1:13" ht="21" x14ac:dyDescent="0.4">
      <c r="B14" s="319" t="s">
        <v>613</v>
      </c>
      <c r="C14" s="286"/>
      <c r="D14" s="148"/>
      <c r="E14" s="148"/>
      <c r="F14" s="148"/>
      <c r="G14" s="148"/>
      <c r="H14" s="148"/>
      <c r="I14" s="148"/>
      <c r="J14" s="293"/>
      <c r="K14" s="148"/>
      <c r="L14" s="148"/>
      <c r="M14" s="287"/>
    </row>
    <row r="15" spans="1:13" s="77" customFormat="1" ht="16.95" customHeight="1" x14ac:dyDescent="0.3">
      <c r="A15" s="717"/>
      <c r="B15" s="602"/>
      <c r="C15" s="306"/>
      <c r="D15" s="310"/>
      <c r="E15" s="310"/>
      <c r="F15" s="311"/>
      <c r="G15" s="153"/>
      <c r="H15" s="310"/>
      <c r="I15" s="310"/>
      <c r="J15" s="310"/>
      <c r="K15" s="310"/>
      <c r="L15" s="310"/>
      <c r="M15" s="295"/>
    </row>
    <row r="16" spans="1:13" s="91" customFormat="1" ht="16.95" customHeight="1" x14ac:dyDescent="0.25">
      <c r="A16" s="717"/>
      <c r="B16" s="602"/>
      <c r="C16" s="289" t="s">
        <v>243</v>
      </c>
      <c r="D16" s="297"/>
      <c r="E16" s="297"/>
      <c r="F16" s="308">
        <f>IF('Gårdens info'!D34&gt;0,J71,0)</f>
        <v>0</v>
      </c>
      <c r="G16" s="151" t="s">
        <v>14</v>
      </c>
      <c r="H16" s="299">
        <f>IF('Gårdens info'!$G$34&gt;0,F16/'Gårdens info'!$G$34,0)</f>
        <v>0</v>
      </c>
      <c r="I16" s="151" t="s">
        <v>6</v>
      </c>
      <c r="J16" s="298">
        <f>F16*'Gårdens info'!$D$34</f>
        <v>0</v>
      </c>
      <c r="K16" s="151" t="s">
        <v>650</v>
      </c>
      <c r="L16" s="297"/>
      <c r="M16" s="300"/>
    </row>
    <row r="17" spans="1:29" s="91" customFormat="1" ht="15" x14ac:dyDescent="0.25">
      <c r="A17" s="719"/>
      <c r="B17" s="296"/>
      <c r="C17" s="289" t="s">
        <v>244</v>
      </c>
      <c r="D17" s="297"/>
      <c r="E17" s="297"/>
      <c r="F17" s="298">
        <f>IF('Gårdens info'!D34&gt;0,J79,0)</f>
        <v>0</v>
      </c>
      <c r="G17" s="151" t="s">
        <v>14</v>
      </c>
      <c r="H17" s="299">
        <f>IF('Gårdens info'!$G$34&gt;0,F17/'Gårdens info'!$G$34,0)</f>
        <v>0</v>
      </c>
      <c r="I17" s="151" t="s">
        <v>6</v>
      </c>
      <c r="J17" s="298">
        <f>F17*'Gårdens info'!$D$34</f>
        <v>0</v>
      </c>
      <c r="K17" s="151" t="s">
        <v>650</v>
      </c>
      <c r="L17" s="297"/>
      <c r="M17" s="300"/>
    </row>
    <row r="18" spans="1:29" s="91" customFormat="1" ht="15" x14ac:dyDescent="0.25">
      <c r="A18" s="719"/>
      <c r="B18" s="296"/>
      <c r="C18" s="289" t="s">
        <v>245</v>
      </c>
      <c r="D18" s="297"/>
      <c r="E18" s="297"/>
      <c r="F18" s="298">
        <f>IF('Gårdens info'!D34&gt;0,J97,0)</f>
        <v>0</v>
      </c>
      <c r="G18" s="151" t="s">
        <v>14</v>
      </c>
      <c r="H18" s="299">
        <f>IF('Gårdens info'!$G$34&gt;0,F18/'Gårdens info'!$G$34,0)</f>
        <v>0</v>
      </c>
      <c r="I18" s="151" t="s">
        <v>6</v>
      </c>
      <c r="J18" s="298">
        <f>F18*'Gårdens info'!$D$34</f>
        <v>0</v>
      </c>
      <c r="K18" s="151" t="s">
        <v>650</v>
      </c>
      <c r="L18" s="297"/>
      <c r="M18" s="300"/>
    </row>
    <row r="19" spans="1:29" s="91" customFormat="1" ht="15" x14ac:dyDescent="0.25">
      <c r="A19" s="719"/>
      <c r="B19" s="296"/>
      <c r="C19" s="289" t="s">
        <v>387</v>
      </c>
      <c r="D19" s="297"/>
      <c r="E19" s="297"/>
      <c r="F19" s="298">
        <f>IF('Gårdens info'!D34&gt;0,J106,0)</f>
        <v>0</v>
      </c>
      <c r="G19" s="151" t="s">
        <v>14</v>
      </c>
      <c r="H19" s="299">
        <f>IF('Gårdens info'!$G$34&gt;0,F19/'Gårdens info'!$G$34,0)</f>
        <v>0</v>
      </c>
      <c r="I19" s="151" t="s">
        <v>6</v>
      </c>
      <c r="J19" s="298">
        <f>F19*'Gårdens info'!$D$34</f>
        <v>0</v>
      </c>
      <c r="K19" s="151" t="s">
        <v>650</v>
      </c>
      <c r="L19" s="297"/>
      <c r="M19" s="300"/>
    </row>
    <row r="20" spans="1:29" s="91" customFormat="1" ht="15" x14ac:dyDescent="0.25">
      <c r="A20" s="719"/>
      <c r="B20" s="296"/>
      <c r="C20" s="289" t="s">
        <v>249</v>
      </c>
      <c r="D20" s="297"/>
      <c r="E20" s="297"/>
      <c r="F20" s="298">
        <f>IF('Gårdens info'!D34&gt;0,J118,0)</f>
        <v>0</v>
      </c>
      <c r="G20" s="151" t="s">
        <v>14</v>
      </c>
      <c r="H20" s="299">
        <f>IF('Gårdens info'!$G$34&gt;0,F20/'Gårdens info'!$G$34,0)</f>
        <v>0</v>
      </c>
      <c r="I20" s="151" t="s">
        <v>6</v>
      </c>
      <c r="J20" s="298">
        <f>F20*'Gårdens info'!$D$34</f>
        <v>0</v>
      </c>
      <c r="K20" s="151" t="s">
        <v>650</v>
      </c>
      <c r="L20" s="297"/>
      <c r="M20" s="300"/>
    </row>
    <row r="21" spans="1:29" s="91" customFormat="1" ht="15" x14ac:dyDescent="0.25">
      <c r="A21" s="719"/>
      <c r="B21" s="296"/>
      <c r="C21" s="289" t="s">
        <v>614</v>
      </c>
      <c r="D21" s="297"/>
      <c r="E21" s="297"/>
      <c r="F21" s="298">
        <f>IF('Gårdens info'!D34&gt;0,L134,0)</f>
        <v>0</v>
      </c>
      <c r="G21" s="151" t="s">
        <v>14</v>
      </c>
      <c r="H21" s="299">
        <f>IF('Gårdens info'!$G$34&gt;0,F21/'Gårdens info'!$G$34,0)</f>
        <v>0</v>
      </c>
      <c r="I21" s="151" t="s">
        <v>6</v>
      </c>
      <c r="J21" s="298">
        <f>F21*'Gårdens info'!$D$34</f>
        <v>0</v>
      </c>
      <c r="K21" s="151" t="s">
        <v>650</v>
      </c>
      <c r="L21" s="297"/>
      <c r="M21" s="300"/>
    </row>
    <row r="22" spans="1:29" ht="15.6" x14ac:dyDescent="0.3">
      <c r="B22" s="312"/>
      <c r="C22" s="301" t="s">
        <v>196</v>
      </c>
      <c r="D22" s="302"/>
      <c r="E22" s="302"/>
      <c r="F22" s="303">
        <f>SUM(F16:F21)</f>
        <v>0</v>
      </c>
      <c r="G22" s="304" t="s">
        <v>14</v>
      </c>
      <c r="H22" s="305">
        <f>SUM(H16:H21)</f>
        <v>0</v>
      </c>
      <c r="I22" s="304" t="s">
        <v>6</v>
      </c>
      <c r="J22" s="303">
        <f>SUM(J16:J21)</f>
        <v>0</v>
      </c>
      <c r="K22" s="304" t="s">
        <v>650</v>
      </c>
      <c r="L22" s="302"/>
      <c r="M22" s="313"/>
      <c r="N22" s="91"/>
      <c r="O22" s="91"/>
      <c r="P22" s="91"/>
      <c r="Q22" s="91"/>
      <c r="R22" s="91"/>
      <c r="S22" s="91"/>
      <c r="T22" s="91"/>
      <c r="U22" s="91"/>
    </row>
    <row r="23" spans="1:29" s="77" customFormat="1" ht="17.399999999999999" x14ac:dyDescent="0.3">
      <c r="A23" s="720"/>
      <c r="B23" s="292"/>
      <c r="C23" s="306"/>
      <c r="D23" s="307"/>
      <c r="E23" s="307"/>
      <c r="F23" s="308"/>
      <c r="G23" s="151"/>
      <c r="H23" s="307"/>
      <c r="I23" s="307"/>
      <c r="J23" s="307"/>
      <c r="K23" s="307"/>
      <c r="L23" s="307"/>
      <c r="M23" s="287"/>
      <c r="N23" s="91"/>
      <c r="O23" s="91"/>
      <c r="P23" s="91"/>
      <c r="R23" s="91"/>
      <c r="S23" s="91"/>
      <c r="T23" s="91"/>
      <c r="U23" s="91"/>
      <c r="AB23" s="77" t="s">
        <v>243</v>
      </c>
      <c r="AC23" s="678">
        <f>F16</f>
        <v>0</v>
      </c>
    </row>
    <row r="24" spans="1:29" s="91" customFormat="1" ht="17.399999999999999" customHeight="1" x14ac:dyDescent="0.3">
      <c r="A24" s="719"/>
      <c r="B24" s="947" t="s">
        <v>629</v>
      </c>
      <c r="C24" s="948"/>
      <c r="D24" s="948"/>
      <c r="E24" s="948"/>
      <c r="F24" s="325">
        <f>IF('Gårdens info'!D34&gt;0,J24/'Gårdens info'!D34,0)</f>
        <v>0</v>
      </c>
      <c r="G24" s="304" t="s">
        <v>14</v>
      </c>
      <c r="H24" s="326">
        <f>IF('Gårdens info'!G34&gt;0,F24/'Gårdens info'!G34,0)</f>
        <v>0</v>
      </c>
      <c r="I24" s="304" t="s">
        <v>6</v>
      </c>
      <c r="J24" s="320">
        <f>'Gårdens info'!G147/'Gårdens info'!D37*'Gårdens info'!D34</f>
        <v>0</v>
      </c>
      <c r="K24" s="304" t="s">
        <v>650</v>
      </c>
      <c r="L24" s="327"/>
      <c r="M24" s="321"/>
      <c r="N24"/>
      <c r="O24"/>
      <c r="P24"/>
      <c r="S24"/>
      <c r="T24"/>
      <c r="U24"/>
      <c r="AB24" s="91" t="str">
        <f>C17</f>
        <v>Gödsel och kalk</v>
      </c>
      <c r="AC24" s="678">
        <f t="shared" ref="AC24:AC28" si="0">F17</f>
        <v>0</v>
      </c>
    </row>
    <row r="25" spans="1:29" s="91" customFormat="1" ht="17.399999999999999" customHeight="1" x14ac:dyDescent="0.3">
      <c r="A25" s="719"/>
      <c r="B25" s="949" t="s">
        <v>630</v>
      </c>
      <c r="C25" s="950"/>
      <c r="D25" s="950"/>
      <c r="E25" s="950"/>
      <c r="F25" s="325">
        <f>'Gårdens info'!$G$42*'Gårdens info'!$D$42/'Gårdens info'!$D$37*'Gårdens info'!D34</f>
        <v>0</v>
      </c>
      <c r="G25" s="304" t="s">
        <v>14</v>
      </c>
      <c r="H25" s="326">
        <f>IF('Gårdens info'!G34&gt;0,F25/'Gårdens info'!G34,0)</f>
        <v>0</v>
      </c>
      <c r="I25" s="304" t="s">
        <v>6</v>
      </c>
      <c r="J25" s="320">
        <f>F25*'Gårdens info'!D34</f>
        <v>0</v>
      </c>
      <c r="K25" s="304" t="s">
        <v>650</v>
      </c>
      <c r="L25" s="327"/>
      <c r="M25" s="321"/>
      <c r="N25" s="77"/>
      <c r="O25" s="77"/>
      <c r="P25" s="77"/>
      <c r="S25" s="77"/>
      <c r="T25" s="77"/>
      <c r="U25" s="77"/>
      <c r="AB25" s="91" t="str">
        <f>C18</f>
        <v>IPM Växtskydd</v>
      </c>
      <c r="AC25" s="678">
        <f t="shared" si="0"/>
        <v>0</v>
      </c>
    </row>
    <row r="26" spans="1:29" s="91" customFormat="1" ht="21" customHeight="1" x14ac:dyDescent="0.4">
      <c r="A26" s="719"/>
      <c r="B26" s="932" t="s">
        <v>226</v>
      </c>
      <c r="C26" s="933"/>
      <c r="D26" s="933"/>
      <c r="E26" s="324"/>
      <c r="F26" s="328">
        <f>F22+F24+F25</f>
        <v>0</v>
      </c>
      <c r="G26" s="329" t="s">
        <v>14</v>
      </c>
      <c r="H26" s="330">
        <f>H22+H24+H25</f>
        <v>0</v>
      </c>
      <c r="I26" s="329" t="s">
        <v>6</v>
      </c>
      <c r="J26" s="331">
        <f>J22+J24+J25</f>
        <v>0</v>
      </c>
      <c r="K26" s="329" t="s">
        <v>650</v>
      </c>
      <c r="L26" s="329"/>
      <c r="M26" s="321"/>
      <c r="AB26" s="91" t="str">
        <f t="shared" ref="AB26:AB28" si="1">C19</f>
        <v>Maskinhyra och entreprenad</v>
      </c>
      <c r="AC26" s="678">
        <f t="shared" si="0"/>
        <v>0</v>
      </c>
    </row>
    <row r="27" spans="1:29" s="91" customFormat="1" ht="21" x14ac:dyDescent="0.4">
      <c r="A27" s="719"/>
      <c r="B27" s="844"/>
      <c r="C27" s="845"/>
      <c r="D27" s="845"/>
      <c r="E27" s="324"/>
      <c r="F27" s="328"/>
      <c r="G27" s="329"/>
      <c r="H27" s="330"/>
      <c r="I27" s="329"/>
      <c r="J27" s="331"/>
      <c r="K27" s="329"/>
      <c r="L27" s="329"/>
      <c r="M27" s="321"/>
      <c r="AB27" s="91" t="str">
        <f t="shared" si="1"/>
        <v>Energikostnader</v>
      </c>
      <c r="AC27" s="678">
        <f t="shared" si="0"/>
        <v>0</v>
      </c>
    </row>
    <row r="28" spans="1:29" s="91" customFormat="1" ht="21" x14ac:dyDescent="0.4">
      <c r="A28" s="719"/>
      <c r="B28" s="319" t="s">
        <v>631</v>
      </c>
      <c r="C28" s="286"/>
      <c r="D28" s="148"/>
      <c r="E28" s="148"/>
      <c r="F28" s="148"/>
      <c r="G28" s="148"/>
      <c r="H28" s="148"/>
      <c r="I28" s="148"/>
      <c r="J28" s="293"/>
      <c r="K28" s="148"/>
      <c r="L28" s="148"/>
      <c r="M28" s="287"/>
      <c r="AB28" s="91" t="str">
        <f t="shared" si="1"/>
        <v xml:space="preserve">Anställd arbetskraft </v>
      </c>
      <c r="AC28" s="678">
        <f t="shared" si="0"/>
        <v>0</v>
      </c>
    </row>
    <row r="29" spans="1:29" s="91" customFormat="1" ht="21" customHeight="1" x14ac:dyDescent="0.4">
      <c r="A29" s="719"/>
      <c r="B29" s="947" t="s">
        <v>149</v>
      </c>
      <c r="C29" s="948"/>
      <c r="D29" s="845"/>
      <c r="E29" s="324"/>
      <c r="F29" s="328"/>
      <c r="G29" s="329"/>
      <c r="H29" s="330"/>
      <c r="I29" s="329"/>
      <c r="J29" s="331"/>
      <c r="K29" s="329"/>
      <c r="L29" s="329"/>
      <c r="M29" s="321"/>
      <c r="AB29" s="882" t="s">
        <v>572</v>
      </c>
      <c r="AC29" s="459">
        <f>F24</f>
        <v>0</v>
      </c>
    </row>
    <row r="30" spans="1:29" s="91" customFormat="1" ht="21" x14ac:dyDescent="0.4">
      <c r="A30" s="719"/>
      <c r="B30" s="350"/>
      <c r="C30" s="846" t="s">
        <v>264</v>
      </c>
      <c r="D30" s="845"/>
      <c r="E30" s="324"/>
      <c r="F30" s="338">
        <f>IF('Gårdens info'!$D$34&gt;0,J30/'Gårdens info'!$D$34,0)</f>
        <v>0</v>
      </c>
      <c r="G30" s="151" t="s">
        <v>14</v>
      </c>
      <c r="H30" s="339">
        <f>IF('Gårdens info'!$G$34&gt;0,F30/'Gårdens info'!$G$34,0)</f>
        <v>0</v>
      </c>
      <c r="I30" s="151" t="s">
        <v>6</v>
      </c>
      <c r="J30" s="298">
        <f>Ägendom!BA22</f>
        <v>0</v>
      </c>
      <c r="K30" s="151" t="s">
        <v>650</v>
      </c>
      <c r="L30" s="329"/>
      <c r="M30" s="321"/>
      <c r="AB30" s="91" t="s">
        <v>728</v>
      </c>
      <c r="AC30" s="459">
        <f>F25</f>
        <v>0</v>
      </c>
    </row>
    <row r="31" spans="1:29" s="236" customFormat="1" ht="21" x14ac:dyDescent="0.4">
      <c r="A31" s="721"/>
      <c r="B31" s="350"/>
      <c r="C31" s="846" t="s">
        <v>265</v>
      </c>
      <c r="D31" s="845"/>
      <c r="E31" s="324"/>
      <c r="F31" s="338">
        <f>IF('Gårdens info'!$D$34&gt;0,J31/'Gårdens info'!$D$34,0)</f>
        <v>0</v>
      </c>
      <c r="G31" s="151" t="s">
        <v>14</v>
      </c>
      <c r="H31" s="339">
        <f>IF('Gårdens info'!$G$34&gt;0,F31/'Gårdens info'!$G$34,0)</f>
        <v>0</v>
      </c>
      <c r="I31" s="151" t="s">
        <v>6</v>
      </c>
      <c r="J31" s="298">
        <f>Ägendom!BW22</f>
        <v>0</v>
      </c>
      <c r="K31" s="151" t="s">
        <v>650</v>
      </c>
      <c r="L31" s="329"/>
      <c r="M31" s="321"/>
      <c r="N31" s="91"/>
      <c r="O31" s="91"/>
      <c r="P31" s="91"/>
      <c r="S31" s="91"/>
      <c r="T31" s="91"/>
      <c r="U31" s="91"/>
      <c r="AB31" s="91" t="s">
        <v>576</v>
      </c>
      <c r="AC31" s="460">
        <f>F34</f>
        <v>0</v>
      </c>
    </row>
    <row r="32" spans="1:29" ht="17.399999999999999" customHeight="1" x14ac:dyDescent="0.3">
      <c r="B32" s="350"/>
      <c r="C32" s="941" t="s">
        <v>266</v>
      </c>
      <c r="D32" s="941"/>
      <c r="E32" s="324"/>
      <c r="F32" s="338">
        <f>IF('Gårdens info'!$D$34&gt;0,J32/'Gårdens info'!$D$34,0)</f>
        <v>0</v>
      </c>
      <c r="G32" s="151" t="s">
        <v>14</v>
      </c>
      <c r="H32" s="339">
        <f>IF('Gårdens info'!$G$34&gt;0,F32/'Gårdens info'!$G$34,0)</f>
        <v>0</v>
      </c>
      <c r="I32" s="151" t="s">
        <v>6</v>
      </c>
      <c r="J32" s="298">
        <f>Ägendom!CS22</f>
        <v>0</v>
      </c>
      <c r="K32" s="151" t="s">
        <v>650</v>
      </c>
      <c r="L32" s="329"/>
      <c r="M32" s="321"/>
      <c r="N32" s="91"/>
      <c r="O32" s="91"/>
      <c r="P32" s="91"/>
      <c r="S32" s="91"/>
      <c r="T32" s="91"/>
      <c r="U32" s="91"/>
      <c r="AB32" s="91" t="s">
        <v>577</v>
      </c>
      <c r="AC32" s="461">
        <f>F41</f>
        <v>0</v>
      </c>
    </row>
    <row r="33" spans="1:29" ht="21" x14ac:dyDescent="0.4">
      <c r="B33" s="350"/>
      <c r="C33" s="846" t="s">
        <v>399</v>
      </c>
      <c r="D33" s="845"/>
      <c r="E33" s="324"/>
      <c r="F33" s="338">
        <f>IF('Gårdens info'!$D$34&gt;0,J33/'Gårdens info'!$D$34,0)</f>
        <v>0</v>
      </c>
      <c r="G33" s="151" t="s">
        <v>14</v>
      </c>
      <c r="H33" s="339">
        <f>IF('Gårdens info'!$G$34&gt;0,F33/'Gårdens info'!$G$34,0)</f>
        <v>0</v>
      </c>
      <c r="I33" s="151" t="s">
        <v>6</v>
      </c>
      <c r="J33" s="298">
        <f>Ägendom!DO22</f>
        <v>0</v>
      </c>
      <c r="K33" s="151" t="s">
        <v>650</v>
      </c>
      <c r="L33" s="329"/>
      <c r="M33" s="321"/>
      <c r="N33" s="236"/>
      <c r="O33" s="236"/>
      <c r="P33" s="236"/>
      <c r="S33" s="236"/>
      <c r="T33" s="236"/>
      <c r="U33" s="236"/>
      <c r="AB33" s="91" t="s">
        <v>578</v>
      </c>
      <c r="AC33" s="461">
        <f>F48</f>
        <v>0</v>
      </c>
    </row>
    <row r="34" spans="1:29" ht="20.399999999999999" x14ac:dyDescent="0.35">
      <c r="B34" s="352"/>
      <c r="C34" s="340" t="s">
        <v>196</v>
      </c>
      <c r="D34" s="341"/>
      <c r="E34" s="324"/>
      <c r="F34" s="342">
        <f>SUM(F30:F33)</f>
        <v>0</v>
      </c>
      <c r="G34" s="151" t="s">
        <v>14</v>
      </c>
      <c r="H34" s="348">
        <f t="shared" ref="H34:J34" si="2">SUM(H30:H33)</f>
        <v>0</v>
      </c>
      <c r="I34" s="151" t="s">
        <v>6</v>
      </c>
      <c r="J34" s="342">
        <f t="shared" si="2"/>
        <v>0</v>
      </c>
      <c r="K34" s="151" t="s">
        <v>650</v>
      </c>
      <c r="L34" s="343"/>
      <c r="M34" s="321"/>
      <c r="AB34" s="91" t="s">
        <v>162</v>
      </c>
      <c r="AC34" s="461">
        <f>F54</f>
        <v>0</v>
      </c>
    </row>
    <row r="35" spans="1:29" s="91" customFormat="1" ht="21" x14ac:dyDescent="0.4">
      <c r="A35" s="719"/>
      <c r="B35" s="350"/>
      <c r="C35" s="846"/>
      <c r="D35" s="845"/>
      <c r="E35" s="324"/>
      <c r="F35" s="338"/>
      <c r="G35" s="151"/>
      <c r="H35" s="339"/>
      <c r="I35" s="151"/>
      <c r="J35" s="298"/>
      <c r="K35" s="151"/>
      <c r="L35" s="329"/>
      <c r="M35" s="321"/>
      <c r="N35"/>
      <c r="O35"/>
      <c r="P35"/>
      <c r="S35"/>
      <c r="T35"/>
      <c r="U35"/>
      <c r="AB35" s="91" t="s">
        <v>727</v>
      </c>
      <c r="AC35" s="459">
        <f>F60</f>
        <v>0</v>
      </c>
    </row>
    <row r="36" spans="1:29" s="91" customFormat="1" ht="17.399999999999999" customHeight="1" x14ac:dyDescent="0.3">
      <c r="A36" s="719"/>
      <c r="B36" s="970" t="s">
        <v>400</v>
      </c>
      <c r="C36" s="971"/>
      <c r="D36" s="971"/>
      <c r="E36" s="324"/>
      <c r="F36" s="338"/>
      <c r="G36" s="151"/>
      <c r="H36" s="339"/>
      <c r="I36" s="151"/>
      <c r="J36" s="298"/>
      <c r="K36" s="151"/>
      <c r="L36" s="329"/>
      <c r="M36" s="321"/>
      <c r="N36"/>
      <c r="O36"/>
      <c r="P36"/>
      <c r="S36"/>
      <c r="T36"/>
      <c r="U36"/>
      <c r="AB36" s="8"/>
      <c r="AC36" s="8"/>
    </row>
    <row r="37" spans="1:29" s="91" customFormat="1" ht="21" x14ac:dyDescent="0.4">
      <c r="A37" s="719"/>
      <c r="B37" s="350"/>
      <c r="C37" s="846" t="s">
        <v>264</v>
      </c>
      <c r="D37" s="845"/>
      <c r="E37" s="324"/>
      <c r="F37" s="338">
        <f>IF('Gårdens info'!$D$34&gt;0,J37/'Gårdens info'!$D$34,0)</f>
        <v>0</v>
      </c>
      <c r="G37" s="151" t="s">
        <v>14</v>
      </c>
      <c r="H37" s="339">
        <f>IF('Gårdens info'!$G$34&gt;0,F37/'Gårdens info'!$G$34,0)</f>
        <v>0</v>
      </c>
      <c r="I37" s="151" t="s">
        <v>6</v>
      </c>
      <c r="J37" s="298">
        <f>Ägendom!BA51</f>
        <v>0</v>
      </c>
      <c r="K37" s="151" t="s">
        <v>650</v>
      </c>
      <c r="L37" s="329"/>
      <c r="M37" s="321"/>
      <c r="AB37" s="8"/>
      <c r="AC37" s="8"/>
    </row>
    <row r="38" spans="1:29" s="8" customFormat="1" ht="21" x14ac:dyDescent="0.4">
      <c r="A38" s="718"/>
      <c r="B38" s="350"/>
      <c r="C38" s="846" t="s">
        <v>265</v>
      </c>
      <c r="D38" s="845"/>
      <c r="E38" s="324"/>
      <c r="F38" s="338">
        <f>IF('Gårdens info'!$D$34&gt;0,J38/'Gårdens info'!$D$34,0)</f>
        <v>0</v>
      </c>
      <c r="G38" s="151" t="s">
        <v>14</v>
      </c>
      <c r="H38" s="339">
        <f>IF('Gårdens info'!$G$34&gt;0,F38/'Gårdens info'!$G$34,0)</f>
        <v>0</v>
      </c>
      <c r="I38" s="151" t="s">
        <v>6</v>
      </c>
      <c r="J38" s="298">
        <f>Ägendom!BW51</f>
        <v>0</v>
      </c>
      <c r="K38" s="151" t="s">
        <v>650</v>
      </c>
      <c r="L38" s="329"/>
      <c r="M38" s="321"/>
      <c r="N38" s="91"/>
      <c r="O38" s="91"/>
      <c r="P38" s="91"/>
      <c r="Q38" s="91"/>
      <c r="R38" s="91"/>
      <c r="S38" s="91"/>
      <c r="T38" s="91"/>
      <c r="U38" s="91"/>
    </row>
    <row r="39" spans="1:29" s="8" customFormat="1" ht="17.399999999999999" customHeight="1" x14ac:dyDescent="0.3">
      <c r="A39" s="718"/>
      <c r="B39" s="350"/>
      <c r="C39" s="941" t="s">
        <v>266</v>
      </c>
      <c r="D39" s="941"/>
      <c r="E39" s="324"/>
      <c r="F39" s="338">
        <f>IF('Gårdens info'!$D$34&gt;0,J39/'Gårdens info'!$D$34,0)</f>
        <v>0</v>
      </c>
      <c r="G39" s="151" t="s">
        <v>14</v>
      </c>
      <c r="H39" s="339">
        <f>IF('Gårdens info'!$G$34&gt;0,F39/'Gårdens info'!$G$34,0)</f>
        <v>0</v>
      </c>
      <c r="I39" s="151" t="s">
        <v>6</v>
      </c>
      <c r="J39" s="298">
        <f>Ägendom!CS51</f>
        <v>0</v>
      </c>
      <c r="K39" s="151" t="s">
        <v>650</v>
      </c>
      <c r="L39" s="329"/>
      <c r="M39" s="321"/>
      <c r="N39" s="91"/>
      <c r="O39" s="91"/>
      <c r="P39" s="91"/>
      <c r="Q39" s="91"/>
      <c r="R39" s="91"/>
      <c r="S39" s="91"/>
      <c r="T39" s="91"/>
      <c r="U39" s="91"/>
    </row>
    <row r="40" spans="1:29" s="8" customFormat="1" ht="21" x14ac:dyDescent="0.4">
      <c r="A40" s="718"/>
      <c r="B40" s="350"/>
      <c r="C40" s="846" t="s">
        <v>399</v>
      </c>
      <c r="D40" s="845"/>
      <c r="E40" s="324"/>
      <c r="F40" s="338">
        <f>IF('Gårdens info'!$D$34&gt;0,J40/'Gårdens info'!$D$34,0)</f>
        <v>0</v>
      </c>
      <c r="G40" s="151" t="s">
        <v>14</v>
      </c>
      <c r="H40" s="339">
        <f>IF('Gårdens info'!$G$34&gt;0,F40/'Gårdens info'!$G$34,0)</f>
        <v>0</v>
      </c>
      <c r="I40" s="151" t="s">
        <v>6</v>
      </c>
      <c r="J40" s="298">
        <f>Ägendom!DO51</f>
        <v>0</v>
      </c>
      <c r="K40" s="151" t="s">
        <v>650</v>
      </c>
      <c r="L40" s="329"/>
      <c r="M40" s="321"/>
    </row>
    <row r="41" spans="1:29" s="8" customFormat="1" ht="20.399999999999999" x14ac:dyDescent="0.35">
      <c r="A41" s="718"/>
      <c r="B41" s="352"/>
      <c r="C41" s="340" t="s">
        <v>196</v>
      </c>
      <c r="D41" s="341"/>
      <c r="E41" s="324"/>
      <c r="F41" s="342">
        <f>SUM(F37:F40)</f>
        <v>0</v>
      </c>
      <c r="G41" s="151" t="s">
        <v>14</v>
      </c>
      <c r="H41" s="348">
        <f t="shared" ref="H41:J41" si="3">SUM(H37:H40)</f>
        <v>0</v>
      </c>
      <c r="I41" s="151" t="s">
        <v>6</v>
      </c>
      <c r="J41" s="342">
        <f t="shared" si="3"/>
        <v>0</v>
      </c>
      <c r="K41" s="151" t="s">
        <v>650</v>
      </c>
      <c r="L41" s="343"/>
      <c r="M41" s="321"/>
    </row>
    <row r="42" spans="1:29" s="8" customFormat="1" ht="21" x14ac:dyDescent="0.4">
      <c r="A42" s="718"/>
      <c r="B42" s="350"/>
      <c r="C42" s="846"/>
      <c r="D42" s="845"/>
      <c r="E42" s="324"/>
      <c r="F42" s="338"/>
      <c r="G42" s="151"/>
      <c r="H42" s="339"/>
      <c r="I42" s="151"/>
      <c r="J42" s="298"/>
      <c r="K42" s="151"/>
      <c r="L42" s="329"/>
      <c r="M42" s="321"/>
      <c r="AB42"/>
      <c r="AC42"/>
    </row>
    <row r="43" spans="1:29" s="8" customFormat="1" ht="43.05" customHeight="1" x14ac:dyDescent="0.3">
      <c r="A43" s="718"/>
      <c r="B43" s="947" t="s">
        <v>151</v>
      </c>
      <c r="C43" s="948"/>
      <c r="D43" s="948"/>
      <c r="E43" s="324"/>
      <c r="F43" s="338"/>
      <c r="G43" s="151"/>
      <c r="H43" s="339"/>
      <c r="I43" s="151"/>
      <c r="J43" s="298"/>
      <c r="K43" s="151"/>
      <c r="L43" s="329"/>
      <c r="M43" s="321"/>
    </row>
    <row r="44" spans="1:29" ht="21" x14ac:dyDescent="0.4">
      <c r="B44" s="350"/>
      <c r="C44" s="846" t="s">
        <v>264</v>
      </c>
      <c r="D44" s="845"/>
      <c r="E44" s="324"/>
      <c r="F44" s="338">
        <f>IF('Gårdens info'!$D$34&gt;0,J44/'Gårdens info'!$D$34,0)</f>
        <v>0</v>
      </c>
      <c r="G44" s="151" t="s">
        <v>14</v>
      </c>
      <c r="H44" s="339">
        <f>IF('Gårdens info'!$G$34&gt;0,F44/'Gårdens info'!$G$34,0)</f>
        <v>0</v>
      </c>
      <c r="I44" s="151" t="s">
        <v>6</v>
      </c>
      <c r="J44" s="298">
        <f>Ägendom!BA76</f>
        <v>0</v>
      </c>
      <c r="K44" s="151" t="s">
        <v>650</v>
      </c>
      <c r="L44" s="329"/>
      <c r="M44" s="321"/>
      <c r="N44" s="8"/>
      <c r="O44" s="8"/>
      <c r="P44" s="8"/>
      <c r="Q44" s="8"/>
      <c r="R44" s="8"/>
      <c r="S44" s="8"/>
      <c r="T44" s="8"/>
      <c r="U44" s="8"/>
      <c r="AB44" s="8"/>
      <c r="AC44" s="8"/>
    </row>
    <row r="45" spans="1:29" s="8" customFormat="1" ht="21" x14ac:dyDescent="0.4">
      <c r="A45" s="718"/>
      <c r="B45" s="350"/>
      <c r="C45" s="846" t="s">
        <v>265</v>
      </c>
      <c r="D45" s="845"/>
      <c r="E45" s="324"/>
      <c r="F45" s="338">
        <f>IF('Gårdens info'!$D$34&gt;0,J45/'Gårdens info'!$D$34,0)</f>
        <v>0</v>
      </c>
      <c r="G45" s="151" t="s">
        <v>14</v>
      </c>
      <c r="H45" s="339">
        <f>IF('Gårdens info'!$G$34&gt;0,F45/'Gårdens info'!$G$34,0)</f>
        <v>0</v>
      </c>
      <c r="I45" s="151" t="s">
        <v>6</v>
      </c>
      <c r="J45" s="298">
        <f>Ägendom!BW76</f>
        <v>0</v>
      </c>
      <c r="K45" s="151" t="s">
        <v>650</v>
      </c>
      <c r="L45" s="329"/>
      <c r="M45" s="321"/>
    </row>
    <row r="46" spans="1:29" s="8" customFormat="1" ht="17.399999999999999" customHeight="1" x14ac:dyDescent="0.3">
      <c r="A46" s="718"/>
      <c r="B46" s="350"/>
      <c r="C46" s="941" t="s">
        <v>266</v>
      </c>
      <c r="D46" s="941"/>
      <c r="E46" s="324"/>
      <c r="F46" s="338">
        <f>IF('Gårdens info'!$D$34&gt;0,J46/'Gårdens info'!$D$34,0)</f>
        <v>0</v>
      </c>
      <c r="G46" s="151" t="s">
        <v>14</v>
      </c>
      <c r="H46" s="339">
        <f>IF('Gårdens info'!$G$34&gt;0,F46/'Gårdens info'!$G$34,0)</f>
        <v>0</v>
      </c>
      <c r="I46" s="151" t="s">
        <v>6</v>
      </c>
      <c r="J46" s="298">
        <f>Ägendom!CS76</f>
        <v>0</v>
      </c>
      <c r="K46" s="151" t="s">
        <v>650</v>
      </c>
      <c r="L46" s="329"/>
      <c r="M46" s="321"/>
      <c r="N46"/>
      <c r="O46"/>
      <c r="P46"/>
      <c r="Q46"/>
      <c r="R46"/>
      <c r="S46"/>
      <c r="T46"/>
      <c r="U46"/>
    </row>
    <row r="47" spans="1:29" s="8" customFormat="1" ht="21" x14ac:dyDescent="0.4">
      <c r="A47" s="718"/>
      <c r="B47" s="350"/>
      <c r="C47" s="846" t="s">
        <v>399</v>
      </c>
      <c r="D47" s="845"/>
      <c r="E47" s="324"/>
      <c r="F47" s="338">
        <f>IF('Gårdens info'!$D$34&gt;0,J47/'Gårdens info'!$D$34,0)</f>
        <v>0</v>
      </c>
      <c r="G47" s="151" t="s">
        <v>14</v>
      </c>
      <c r="H47" s="339">
        <f>IF('Gårdens info'!$G$34&gt;0,F47/'Gårdens info'!$G$34,0)</f>
        <v>0</v>
      </c>
      <c r="I47" s="151" t="s">
        <v>6</v>
      </c>
      <c r="J47" s="298">
        <f>Ägendom!DO76</f>
        <v>0</v>
      </c>
      <c r="K47" s="151" t="s">
        <v>650</v>
      </c>
      <c r="L47" s="329"/>
      <c r="M47" s="321"/>
    </row>
    <row r="48" spans="1:29" s="8" customFormat="1" ht="20.399999999999999" x14ac:dyDescent="0.35">
      <c r="A48" s="718"/>
      <c r="B48" s="352"/>
      <c r="C48" s="340" t="s">
        <v>196</v>
      </c>
      <c r="D48" s="341"/>
      <c r="E48" s="324"/>
      <c r="F48" s="342">
        <f>SUM(F44:F47)</f>
        <v>0</v>
      </c>
      <c r="G48" s="151" t="s">
        <v>14</v>
      </c>
      <c r="H48" s="348">
        <f t="shared" ref="H48:J48" si="4">SUM(H44:H47)</f>
        <v>0</v>
      </c>
      <c r="I48" s="151" t="s">
        <v>6</v>
      </c>
      <c r="J48" s="342">
        <f t="shared" si="4"/>
        <v>0</v>
      </c>
      <c r="K48" s="151" t="s">
        <v>650</v>
      </c>
      <c r="L48" s="343"/>
      <c r="M48" s="321"/>
    </row>
    <row r="49" spans="1:29" s="8" customFormat="1" ht="21" x14ac:dyDescent="0.4">
      <c r="A49" s="718"/>
      <c r="B49" s="350"/>
      <c r="C49" s="846"/>
      <c r="D49" s="845"/>
      <c r="E49" s="324"/>
      <c r="F49" s="338"/>
      <c r="G49" s="151"/>
      <c r="H49" s="339"/>
      <c r="I49" s="151"/>
      <c r="J49" s="298"/>
      <c r="K49" s="151"/>
      <c r="L49" s="329"/>
      <c r="M49" s="321"/>
    </row>
    <row r="50" spans="1:29" s="8" customFormat="1" ht="21" customHeight="1" x14ac:dyDescent="0.4">
      <c r="A50" s="718"/>
      <c r="B50" s="951" t="s">
        <v>160</v>
      </c>
      <c r="C50" s="952"/>
      <c r="D50" s="845"/>
      <c r="E50" s="324"/>
      <c r="F50" s="338"/>
      <c r="G50" s="151"/>
      <c r="H50" s="339"/>
      <c r="I50" s="151"/>
      <c r="J50" s="298"/>
      <c r="K50" s="151"/>
      <c r="L50" s="329"/>
      <c r="M50" s="321"/>
    </row>
    <row r="51" spans="1:29" s="8" customFormat="1" ht="21" x14ac:dyDescent="0.4">
      <c r="A51" s="718"/>
      <c r="B51" s="350"/>
      <c r="C51" s="846" t="s">
        <v>264</v>
      </c>
      <c r="D51" s="845"/>
      <c r="E51" s="324"/>
      <c r="F51" s="338">
        <f>IF('Gårdens info'!$D$34&gt;0,J51/'Gårdens info'!$D$34,0)</f>
        <v>0</v>
      </c>
      <c r="G51" s="151" t="s">
        <v>14</v>
      </c>
      <c r="H51" s="339">
        <f>IF('Gårdens info'!$G$34&gt;0,F51/'Gårdens info'!$G$34,0)</f>
        <v>0</v>
      </c>
      <c r="I51" s="151" t="s">
        <v>6</v>
      </c>
      <c r="J51" s="298">
        <f>Ägendom!BA79</f>
        <v>0</v>
      </c>
      <c r="K51" s="151" t="s">
        <v>650</v>
      </c>
      <c r="L51" s="329"/>
      <c r="M51" s="321"/>
    </row>
    <row r="52" spans="1:29" s="8" customFormat="1" ht="19.95" customHeight="1" x14ac:dyDescent="0.4">
      <c r="A52" s="718"/>
      <c r="B52" s="350"/>
      <c r="C52" s="846" t="s">
        <v>265</v>
      </c>
      <c r="D52" s="845"/>
      <c r="E52" s="324"/>
      <c r="F52" s="338">
        <f>IF('Gårdens info'!$D$34&gt;0,J52/'Gårdens info'!$D$34,0)</f>
        <v>0</v>
      </c>
      <c r="G52" s="151" t="s">
        <v>14</v>
      </c>
      <c r="H52" s="339">
        <f>IF('Gårdens info'!$G$34&gt;0,F52/'Gårdens info'!$G$34,0)</f>
        <v>0</v>
      </c>
      <c r="I52" s="151" t="s">
        <v>6</v>
      </c>
      <c r="J52" s="298">
        <f>Ägendom!BW79</f>
        <v>0</v>
      </c>
      <c r="K52" s="151" t="s">
        <v>650</v>
      </c>
      <c r="L52" s="329"/>
      <c r="M52" s="321"/>
    </row>
    <row r="53" spans="1:29" s="8" customFormat="1" ht="17.399999999999999" customHeight="1" x14ac:dyDescent="0.3">
      <c r="A53" s="718"/>
      <c r="B53" s="350"/>
      <c r="C53" s="941" t="s">
        <v>266</v>
      </c>
      <c r="D53" s="941"/>
      <c r="E53" s="324"/>
      <c r="F53" s="338">
        <f>IF('Gårdens info'!$D$34&gt;0,J53/'Gårdens info'!$D$34,0)</f>
        <v>0</v>
      </c>
      <c r="G53" s="151" t="s">
        <v>14</v>
      </c>
      <c r="H53" s="339">
        <f>IF('Gårdens info'!$G$34&gt;0,F53/'Gårdens info'!$G$34,0)</f>
        <v>0</v>
      </c>
      <c r="I53" s="151" t="s">
        <v>6</v>
      </c>
      <c r="J53" s="298">
        <f>Ägendom!CS79</f>
        <v>0</v>
      </c>
      <c r="K53" s="151" t="s">
        <v>650</v>
      </c>
      <c r="L53" s="329"/>
      <c r="M53" s="321"/>
    </row>
    <row r="54" spans="1:29" s="8" customFormat="1" ht="15.6" x14ac:dyDescent="0.3">
      <c r="A54" s="718"/>
      <c r="B54" s="349"/>
      <c r="C54" s="323" t="s">
        <v>196</v>
      </c>
      <c r="D54" s="323"/>
      <c r="E54" s="323"/>
      <c r="F54" s="342">
        <f>SUM(F51:F53)</f>
        <v>0</v>
      </c>
      <c r="G54" s="151" t="s">
        <v>14</v>
      </c>
      <c r="H54" s="348">
        <f t="shared" ref="H54:J54" si="5">SUM(H51:H53)</f>
        <v>0</v>
      </c>
      <c r="I54" s="151" t="s">
        <v>6</v>
      </c>
      <c r="J54" s="342">
        <f t="shared" si="5"/>
        <v>0</v>
      </c>
      <c r="K54" s="151" t="s">
        <v>650</v>
      </c>
      <c r="L54" s="347"/>
      <c r="M54" s="353"/>
    </row>
    <row r="55" spans="1:29" s="8" customFormat="1" ht="21" customHeight="1" x14ac:dyDescent="0.4">
      <c r="A55" s="718"/>
      <c r="B55" s="932" t="s">
        <v>229</v>
      </c>
      <c r="C55" s="933"/>
      <c r="D55" s="933"/>
      <c r="E55" s="324"/>
      <c r="F55" s="328">
        <f>F34+F41+F48+F54</f>
        <v>0</v>
      </c>
      <c r="G55" s="329" t="s">
        <v>14</v>
      </c>
      <c r="H55" s="330">
        <f>H34+H41+H48+H54</f>
        <v>0</v>
      </c>
      <c r="I55" s="329" t="s">
        <v>6</v>
      </c>
      <c r="J55" s="331">
        <f>J34+J41+J48+J54</f>
        <v>0</v>
      </c>
      <c r="K55" s="329" t="s">
        <v>650</v>
      </c>
      <c r="L55" s="329"/>
      <c r="M55" s="321"/>
    </row>
    <row r="56" spans="1:29" s="8" customFormat="1" ht="15.6" x14ac:dyDescent="0.3">
      <c r="A56" s="718"/>
      <c r="B56" s="349"/>
      <c r="C56" s="324"/>
      <c r="D56" s="324"/>
      <c r="E56" s="324"/>
      <c r="F56" s="325"/>
      <c r="G56" s="304"/>
      <c r="H56" s="326"/>
      <c r="I56" s="304"/>
      <c r="J56" s="320"/>
      <c r="K56" s="304"/>
      <c r="L56" s="327"/>
      <c r="M56" s="321"/>
    </row>
    <row r="57" spans="1:29" s="8" customFormat="1" ht="21" x14ac:dyDescent="0.4">
      <c r="A57" s="718"/>
      <c r="B57" s="319" t="s">
        <v>230</v>
      </c>
      <c r="C57" s="324"/>
      <c r="D57" s="324"/>
      <c r="E57" s="324"/>
      <c r="F57" s="325"/>
      <c r="G57" s="304"/>
      <c r="H57" s="326"/>
      <c r="I57" s="304"/>
      <c r="J57" s="320"/>
      <c r="K57" s="304"/>
      <c r="L57" s="327"/>
      <c r="M57" s="321"/>
    </row>
    <row r="58" spans="1:29" s="8" customFormat="1" ht="15" x14ac:dyDescent="0.25">
      <c r="A58" s="718"/>
      <c r="B58" s="296"/>
      <c r="C58" s="289" t="s">
        <v>230</v>
      </c>
      <c r="D58" s="297"/>
      <c r="E58" s="297"/>
      <c r="F58" s="298">
        <f>IF('Gårdens info'!D34&gt;0,H134,0)</f>
        <v>0</v>
      </c>
      <c r="G58" s="151" t="s">
        <v>14</v>
      </c>
      <c r="H58" s="299">
        <f>IF('Gårdens info'!G34&gt;0,F58/'Gårdens info'!$G$34,0)</f>
        <v>0</v>
      </c>
      <c r="I58" s="151" t="s">
        <v>6</v>
      </c>
      <c r="J58" s="298">
        <f>F58*'Gårdens info'!D33</f>
        <v>0</v>
      </c>
      <c r="K58" s="151" t="s">
        <v>650</v>
      </c>
      <c r="L58" s="297"/>
      <c r="M58" s="300"/>
    </row>
    <row r="59" spans="1:29" s="8" customFormat="1" ht="17.399999999999999" x14ac:dyDescent="0.3">
      <c r="A59" s="718"/>
      <c r="B59" s="850"/>
      <c r="C59" s="306"/>
      <c r="D59" s="310"/>
      <c r="E59" s="310"/>
      <c r="F59" s="311"/>
      <c r="G59" s="153"/>
      <c r="H59" s="310"/>
      <c r="I59" s="310"/>
      <c r="J59" s="310"/>
      <c r="K59" s="310"/>
      <c r="L59" s="310"/>
      <c r="M59" s="295"/>
    </row>
    <row r="60" spans="1:29" s="8" customFormat="1" ht="21" customHeight="1" x14ac:dyDescent="0.4">
      <c r="A60" s="718"/>
      <c r="B60" s="932" t="s">
        <v>230</v>
      </c>
      <c r="C60" s="933"/>
      <c r="D60" s="933"/>
      <c r="E60" s="324"/>
      <c r="F60" s="328">
        <f>F58</f>
        <v>0</v>
      </c>
      <c r="G60" s="329" t="s">
        <v>14</v>
      </c>
      <c r="H60" s="330">
        <f>H58</f>
        <v>0</v>
      </c>
      <c r="I60" s="329" t="s">
        <v>6</v>
      </c>
      <c r="J60" s="331">
        <f>J58</f>
        <v>0</v>
      </c>
      <c r="K60" s="329" t="s">
        <v>650</v>
      </c>
      <c r="L60" s="329"/>
      <c r="M60" s="321"/>
    </row>
    <row r="61" spans="1:29" s="8" customFormat="1" ht="21" x14ac:dyDescent="0.4">
      <c r="A61" s="718"/>
      <c r="B61" s="844"/>
      <c r="C61" s="845"/>
      <c r="D61" s="845"/>
      <c r="E61" s="324"/>
      <c r="F61" s="328"/>
      <c r="G61" s="329"/>
      <c r="H61" s="330"/>
      <c r="I61" s="329"/>
      <c r="J61" s="331"/>
      <c r="K61" s="329"/>
      <c r="L61" s="329"/>
      <c r="M61" s="321"/>
    </row>
    <row r="62" spans="1:29" s="8" customFormat="1" ht="21" customHeight="1" x14ac:dyDescent="0.4">
      <c r="A62" s="718"/>
      <c r="B62" s="932" t="s">
        <v>616</v>
      </c>
      <c r="C62" s="933"/>
      <c r="D62" s="933"/>
      <c r="E62" s="324"/>
      <c r="F62" s="328">
        <f>F26+F55+F60</f>
        <v>0</v>
      </c>
      <c r="G62" s="329" t="s">
        <v>14</v>
      </c>
      <c r="H62" s="705">
        <f>H26+H55+H60</f>
        <v>0</v>
      </c>
      <c r="I62" s="329" t="s">
        <v>6</v>
      </c>
      <c r="J62" s="328">
        <f>J26+J55+J60</f>
        <v>0</v>
      </c>
      <c r="K62" s="329" t="s">
        <v>650</v>
      </c>
      <c r="L62" s="329"/>
      <c r="M62" s="321"/>
    </row>
    <row r="63" spans="1:29" s="8" customFormat="1" ht="21" x14ac:dyDescent="0.4">
      <c r="A63" s="718"/>
      <c r="B63" s="844"/>
      <c r="C63" s="845"/>
      <c r="D63" s="845"/>
      <c r="E63" s="324"/>
      <c r="F63" s="328"/>
      <c r="G63" s="329"/>
      <c r="H63" s="330"/>
      <c r="I63" s="329"/>
      <c r="J63" s="331"/>
      <c r="K63" s="329"/>
      <c r="L63" s="329"/>
      <c r="M63" s="321"/>
    </row>
    <row r="64" spans="1:29" s="8" customFormat="1" ht="21.6" customHeight="1" thickBot="1" x14ac:dyDescent="0.45">
      <c r="A64" s="718"/>
      <c r="B64" s="936" t="s">
        <v>269</v>
      </c>
      <c r="C64" s="937"/>
      <c r="D64" s="937"/>
      <c r="E64" s="315"/>
      <c r="F64" s="355">
        <f>F11-F26-F55-F60</f>
        <v>0</v>
      </c>
      <c r="G64" s="356" t="s">
        <v>14</v>
      </c>
      <c r="H64" s="357">
        <f>H11-H26-H55-H60</f>
        <v>0.24</v>
      </c>
      <c r="I64" s="356" t="s">
        <v>6</v>
      </c>
      <c r="J64" s="355">
        <f>J11-J26-J55-J60</f>
        <v>0</v>
      </c>
      <c r="K64" s="356" t="s">
        <v>650</v>
      </c>
      <c r="L64" s="356"/>
      <c r="M64" s="316"/>
      <c r="AB64" s="239"/>
      <c r="AC64" s="239"/>
    </row>
    <row r="65" spans="1:29" s="8" customFormat="1" ht="21" x14ac:dyDescent="0.4">
      <c r="A65" s="718"/>
      <c r="B65" s="76"/>
      <c r="C65"/>
      <c r="D65"/>
      <c r="E65"/>
      <c r="F65"/>
      <c r="G65"/>
      <c r="H65"/>
      <c r="I65"/>
      <c r="J65"/>
      <c r="K65"/>
      <c r="L65"/>
      <c r="M65"/>
    </row>
    <row r="66" spans="1:29" s="239" customFormat="1" ht="16.2" thickBot="1" x14ac:dyDescent="0.35">
      <c r="A66" s="722"/>
      <c r="B66"/>
      <c r="C66"/>
      <c r="D66"/>
      <c r="E66"/>
      <c r="F66"/>
      <c r="G66"/>
      <c r="H66"/>
      <c r="I66"/>
      <c r="J66"/>
      <c r="K66"/>
      <c r="L66"/>
      <c r="M66"/>
      <c r="N66" s="8"/>
      <c r="O66" s="8"/>
      <c r="P66" s="8"/>
      <c r="Q66" s="8"/>
      <c r="R66" s="8"/>
      <c r="S66" s="8"/>
      <c r="T66" s="8"/>
      <c r="U66" s="8"/>
      <c r="AB66" s="8"/>
      <c r="AC66" s="8"/>
    </row>
    <row r="67" spans="1:29" s="8" customFormat="1" ht="21.6" thickBot="1" x14ac:dyDescent="0.45">
      <c r="A67" s="718"/>
      <c r="B67" s="953" t="s">
        <v>270</v>
      </c>
      <c r="C67" s="954"/>
      <c r="D67" s="954"/>
      <c r="E67" s="955"/>
      <c r="F67"/>
      <c r="G67"/>
      <c r="H67"/>
      <c r="I67"/>
      <c r="J67"/>
      <c r="K67"/>
      <c r="L67" s="956" t="s">
        <v>271</v>
      </c>
      <c r="M67" s="956"/>
      <c r="AB67"/>
      <c r="AC67"/>
    </row>
    <row r="68" spans="1:29" s="8" customFormat="1" ht="21" x14ac:dyDescent="0.4">
      <c r="A68" s="718"/>
      <c r="B68" s="692"/>
      <c r="C68" s="692"/>
      <c r="D68" s="692"/>
      <c r="E68" s="692"/>
      <c r="F68" s="534"/>
      <c r="G68" s="534"/>
      <c r="H68" s="534"/>
      <c r="I68" s="534"/>
      <c r="J68" s="534"/>
      <c r="K68" s="534"/>
      <c r="L68" s="698"/>
      <c r="M68" s="698"/>
      <c r="AB68"/>
      <c r="AC68"/>
    </row>
    <row r="69" spans="1:29" ht="15.6" x14ac:dyDescent="0.3">
      <c r="B69" s="113" t="s">
        <v>272</v>
      </c>
      <c r="C69" s="65"/>
      <c r="D69" s="65"/>
      <c r="E69" s="65"/>
      <c r="F69" s="959" t="s">
        <v>159</v>
      </c>
      <c r="G69" s="959"/>
      <c r="H69" s="959" t="s">
        <v>158</v>
      </c>
      <c r="I69" s="959"/>
      <c r="J69" s="959" t="s">
        <v>324</v>
      </c>
      <c r="K69" s="959"/>
      <c r="L69" s="143"/>
      <c r="M69" s="67"/>
    </row>
    <row r="70" spans="1:29" ht="13.8" thickBot="1" x14ac:dyDescent="0.3">
      <c r="B70" s="69"/>
      <c r="C70" s="65"/>
      <c r="D70" s="65"/>
      <c r="E70" s="65"/>
      <c r="F70" s="65"/>
      <c r="G70" s="65"/>
      <c r="H70" s="65"/>
      <c r="I70" s="65"/>
      <c r="J70" s="67"/>
      <c r="K70" s="67"/>
      <c r="L70" s="67"/>
      <c r="M70" s="67"/>
    </row>
    <row r="71" spans="1:29" ht="13.8" thickBot="1" x14ac:dyDescent="0.3">
      <c r="B71" s="69"/>
      <c r="C71" s="65" t="s">
        <v>96</v>
      </c>
      <c r="D71" s="65"/>
      <c r="E71" s="65"/>
      <c r="F71" s="96">
        <v>80</v>
      </c>
      <c r="G71" s="65" t="s">
        <v>1</v>
      </c>
      <c r="H71" s="99">
        <v>1.1000000000000001</v>
      </c>
      <c r="I71" s="70" t="s">
        <v>6</v>
      </c>
      <c r="J71" s="235">
        <f>F71*H71</f>
        <v>88</v>
      </c>
      <c r="K71" s="65" t="s">
        <v>14</v>
      </c>
      <c r="L71" s="67"/>
      <c r="M71" s="67"/>
      <c r="AB71" s="8"/>
      <c r="AC71" s="8"/>
    </row>
    <row r="72" spans="1:29" ht="13.8" thickBot="1" x14ac:dyDescent="0.3">
      <c r="B72" s="65"/>
      <c r="C72" s="66" t="s">
        <v>499</v>
      </c>
      <c r="D72" s="67"/>
      <c r="E72" s="65"/>
      <c r="F72" s="96"/>
      <c r="G72" s="65" t="s">
        <v>1</v>
      </c>
      <c r="H72" s="96"/>
      <c r="I72" s="70" t="s">
        <v>6</v>
      </c>
      <c r="J72" s="235">
        <f>F72*H72</f>
        <v>0</v>
      </c>
      <c r="K72" s="65" t="s">
        <v>14</v>
      </c>
      <c r="L72" s="65"/>
      <c r="M72" s="67"/>
    </row>
    <row r="73" spans="1:29" s="8" customFormat="1" x14ac:dyDescent="0.25">
      <c r="A73" s="718"/>
      <c r="B73" s="71"/>
      <c r="C73" s="71" t="s">
        <v>196</v>
      </c>
      <c r="D73" s="572"/>
      <c r="E73" s="71"/>
      <c r="F73" s="277"/>
      <c r="G73" s="573"/>
      <c r="H73" s="574"/>
      <c r="I73" s="279"/>
      <c r="J73" s="280"/>
      <c r="K73" s="71"/>
      <c r="L73" s="71"/>
      <c r="M73" s="71"/>
    </row>
    <row r="74" spans="1:29" ht="17.399999999999999" x14ac:dyDescent="0.3">
      <c r="B74" s="535"/>
      <c r="C74" s="535"/>
      <c r="D74" s="569"/>
      <c r="E74" s="535"/>
      <c r="F74" s="570"/>
      <c r="G74" s="535"/>
      <c r="H74" s="307"/>
      <c r="I74" s="537"/>
      <c r="J74" s="571"/>
      <c r="K74" s="535"/>
      <c r="L74" s="534"/>
      <c r="M74" s="534"/>
      <c r="AB74" s="77"/>
      <c r="AC74" s="77"/>
    </row>
    <row r="75" spans="1:29" s="8" customFormat="1" ht="17.399999999999999" x14ac:dyDescent="0.3">
      <c r="A75" s="718"/>
      <c r="B75" s="120" t="s">
        <v>275</v>
      </c>
      <c r="C75" s="121"/>
      <c r="D75" s="121"/>
      <c r="E75" s="121"/>
      <c r="F75" s="960" t="s">
        <v>159</v>
      </c>
      <c r="G75" s="960"/>
      <c r="H75" s="960" t="s">
        <v>158</v>
      </c>
      <c r="I75" s="960"/>
      <c r="J75" s="960" t="s">
        <v>324</v>
      </c>
      <c r="K75" s="960"/>
      <c r="L75" s="123"/>
      <c r="M75" s="123"/>
      <c r="AB75" s="77"/>
      <c r="AC75" s="77"/>
    </row>
    <row r="76" spans="1:29" s="77" customFormat="1" ht="18" thickBot="1" x14ac:dyDescent="0.35">
      <c r="A76" s="720"/>
      <c r="B76" s="121"/>
      <c r="C76" s="121"/>
      <c r="D76" s="121"/>
      <c r="E76" s="121"/>
      <c r="F76" s="121"/>
      <c r="G76" s="121"/>
      <c r="H76" s="122"/>
      <c r="I76" s="122"/>
      <c r="J76" s="123"/>
      <c r="K76" s="123"/>
      <c r="L76" s="123"/>
      <c r="M76" s="123"/>
      <c r="N76" s="8"/>
      <c r="O76" s="8"/>
      <c r="P76" s="8"/>
      <c r="Q76" s="8"/>
      <c r="R76" s="8"/>
      <c r="S76" s="8"/>
      <c r="T76" s="8"/>
      <c r="U76" s="8"/>
      <c r="AB76"/>
      <c r="AC76"/>
    </row>
    <row r="77" spans="1:29" s="77" customFormat="1" ht="18" thickBot="1" x14ac:dyDescent="0.35">
      <c r="A77" s="720"/>
      <c r="B77" s="121"/>
      <c r="C77" s="121" t="s">
        <v>76</v>
      </c>
      <c r="D77" s="121"/>
      <c r="E77" s="121"/>
      <c r="F77" s="96">
        <v>370</v>
      </c>
      <c r="G77" s="121" t="s">
        <v>21</v>
      </c>
      <c r="H77" s="99">
        <v>0.41</v>
      </c>
      <c r="I77" s="122" t="s">
        <v>6</v>
      </c>
      <c r="J77" s="124">
        <f t="shared" ref="J77:J78" si="6">F77*H77</f>
        <v>151.69999999999999</v>
      </c>
      <c r="K77" s="121" t="s">
        <v>14</v>
      </c>
      <c r="L77" s="123"/>
      <c r="M77" s="123"/>
      <c r="AB77" s="91"/>
      <c r="AC77" s="91"/>
    </row>
    <row r="78" spans="1:29" ht="15.6" thickBot="1" x14ac:dyDescent="0.3">
      <c r="B78" s="121"/>
      <c r="C78" s="121" t="s">
        <v>280</v>
      </c>
      <c r="D78" s="121"/>
      <c r="E78" s="121"/>
      <c r="F78" s="96"/>
      <c r="G78" s="121" t="s">
        <v>21</v>
      </c>
      <c r="H78" s="99"/>
      <c r="I78" s="122" t="s">
        <v>6</v>
      </c>
      <c r="J78" s="124">
        <f t="shared" si="6"/>
        <v>0</v>
      </c>
      <c r="K78" s="121" t="s">
        <v>14</v>
      </c>
      <c r="L78" s="123"/>
      <c r="M78" s="123"/>
      <c r="N78" s="91"/>
      <c r="O78" s="91"/>
      <c r="P78" s="91"/>
      <c r="Q78" s="91"/>
      <c r="R78" s="91"/>
      <c r="S78" s="91"/>
      <c r="T78" s="91"/>
      <c r="U78" s="91"/>
      <c r="AB78" s="8"/>
      <c r="AC78" s="8"/>
    </row>
    <row r="79" spans="1:29" s="91" customFormat="1" ht="17.399999999999999" x14ac:dyDescent="0.3">
      <c r="A79" s="719"/>
      <c r="B79" s="270"/>
      <c r="C79" s="270" t="s">
        <v>196</v>
      </c>
      <c r="D79" s="270"/>
      <c r="E79" s="270"/>
      <c r="F79" s="270"/>
      <c r="G79" s="270"/>
      <c r="H79" s="270"/>
      <c r="I79" s="271"/>
      <c r="J79" s="272">
        <f>SUM(J77:J78)</f>
        <v>151.69999999999999</v>
      </c>
      <c r="K79" s="270" t="s">
        <v>14</v>
      </c>
      <c r="L79" s="270"/>
      <c r="M79" s="270"/>
      <c r="N79" s="77"/>
      <c r="O79" s="77"/>
      <c r="P79" s="77"/>
      <c r="Q79" s="77"/>
      <c r="R79" s="77"/>
      <c r="S79" s="77"/>
      <c r="T79" s="77"/>
      <c r="U79" s="77"/>
      <c r="AB79" s="8"/>
      <c r="AC79" s="8"/>
    </row>
    <row r="80" spans="1:29" s="8" customFormat="1" x14ac:dyDescent="0.25">
      <c r="A80" s="718"/>
      <c r="B80" s="121"/>
      <c r="C80" s="121"/>
      <c r="D80" s="121"/>
      <c r="E80" s="121"/>
      <c r="F80" s="121"/>
      <c r="G80" s="121"/>
      <c r="H80" s="121"/>
      <c r="I80" s="122"/>
      <c r="J80" s="124"/>
      <c r="K80" s="121"/>
      <c r="L80" s="123"/>
      <c r="M80" s="123"/>
      <c r="N80"/>
      <c r="O80"/>
      <c r="P80"/>
      <c r="Q80"/>
      <c r="R80"/>
      <c r="S80"/>
      <c r="T80"/>
      <c r="U80"/>
    </row>
    <row r="81" spans="1:29" s="8" customFormat="1" ht="15" x14ac:dyDescent="0.25">
      <c r="A81" s="718"/>
      <c r="B81"/>
      <c r="C81"/>
      <c r="D81"/>
      <c r="E81"/>
      <c r="F81"/>
      <c r="G81"/>
      <c r="H81"/>
      <c r="I81"/>
      <c r="J81"/>
      <c r="K81"/>
      <c r="L81"/>
      <c r="M81"/>
      <c r="N81" s="91"/>
      <c r="O81" s="91"/>
      <c r="P81" s="91"/>
      <c r="Q81" s="91"/>
      <c r="R81" s="91"/>
      <c r="S81" s="91"/>
      <c r="T81" s="91"/>
      <c r="U81" s="91"/>
      <c r="AB81"/>
      <c r="AC81"/>
    </row>
    <row r="82" spans="1:29" s="8" customFormat="1" ht="15.6" x14ac:dyDescent="0.3">
      <c r="A82" s="718"/>
      <c r="B82" s="109" t="s">
        <v>282</v>
      </c>
      <c r="C82" s="72"/>
      <c r="D82" s="72"/>
      <c r="E82" s="72"/>
      <c r="F82" s="957" t="s">
        <v>159</v>
      </c>
      <c r="G82" s="957"/>
      <c r="H82" s="958" t="s">
        <v>158</v>
      </c>
      <c r="I82" s="958"/>
      <c r="J82" s="957" t="s">
        <v>324</v>
      </c>
      <c r="K82" s="957"/>
      <c r="L82" s="79"/>
      <c r="M82" s="79"/>
      <c r="AB82"/>
      <c r="AC82"/>
    </row>
    <row r="83" spans="1:29" x14ac:dyDescent="0.25">
      <c r="B83" s="72"/>
      <c r="C83" s="72"/>
      <c r="D83" s="72"/>
      <c r="E83" s="72"/>
      <c r="F83" s="74"/>
      <c r="G83" s="74"/>
      <c r="H83" s="73"/>
      <c r="I83" s="73"/>
      <c r="J83" s="73"/>
      <c r="K83" s="79"/>
      <c r="L83" s="79"/>
      <c r="M83" s="79"/>
      <c r="N83" s="8"/>
      <c r="O83" s="8"/>
      <c r="P83" s="8"/>
      <c r="Q83" s="8"/>
      <c r="R83" s="8"/>
      <c r="S83" s="8"/>
      <c r="T83" s="8"/>
      <c r="U83" s="8"/>
    </row>
    <row r="84" spans="1:29" ht="15.6" x14ac:dyDescent="0.3">
      <c r="B84" s="109"/>
      <c r="C84" s="72"/>
      <c r="D84" s="462" t="s">
        <v>364</v>
      </c>
      <c r="E84" s="72"/>
      <c r="F84" s="695"/>
      <c r="G84" s="695"/>
      <c r="H84" s="696"/>
      <c r="I84" s="696"/>
      <c r="J84" s="695"/>
      <c r="K84" s="695"/>
      <c r="L84" s="79"/>
      <c r="M84" s="79"/>
    </row>
    <row r="85" spans="1:29" x14ac:dyDescent="0.25">
      <c r="B85" s="214" t="s">
        <v>357</v>
      </c>
      <c r="C85" s="72"/>
      <c r="D85" s="72"/>
      <c r="E85" s="72"/>
      <c r="F85" s="74"/>
      <c r="G85" s="74"/>
      <c r="H85" s="73"/>
      <c r="I85" s="73"/>
      <c r="J85" s="79"/>
      <c r="K85" s="79"/>
      <c r="L85" s="79"/>
      <c r="M85" s="79"/>
    </row>
    <row r="86" spans="1:29" ht="13.8" thickBot="1" x14ac:dyDescent="0.3">
      <c r="B86" s="214"/>
      <c r="C86" s="72"/>
      <c r="D86" s="72"/>
      <c r="E86" s="72"/>
      <c r="F86" s="74"/>
      <c r="G86" s="74"/>
      <c r="H86" s="73"/>
      <c r="I86" s="73"/>
      <c r="J86" s="79"/>
      <c r="K86" s="79"/>
      <c r="L86" s="79"/>
      <c r="M86" s="79"/>
    </row>
    <row r="87" spans="1:29" ht="13.8" thickBot="1" x14ac:dyDescent="0.3">
      <c r="B87" s="72"/>
      <c r="C87" s="72" t="s">
        <v>77</v>
      </c>
      <c r="D87" s="79"/>
      <c r="E87" s="72"/>
      <c r="F87" s="119">
        <v>0.8</v>
      </c>
      <c r="G87" s="74" t="s">
        <v>20</v>
      </c>
      <c r="H87" s="99">
        <v>15.32</v>
      </c>
      <c r="I87" s="73" t="s">
        <v>5</v>
      </c>
      <c r="J87" s="568">
        <f t="shared" ref="J87:J91" si="7">F87*H87</f>
        <v>12.256</v>
      </c>
      <c r="K87" s="72" t="s">
        <v>14</v>
      </c>
      <c r="L87" s="79"/>
      <c r="M87" s="79"/>
    </row>
    <row r="88" spans="1:29" ht="13.8" thickBot="1" x14ac:dyDescent="0.3">
      <c r="B88" s="72"/>
      <c r="C88" s="72" t="s">
        <v>78</v>
      </c>
      <c r="D88" s="72"/>
      <c r="E88" s="72"/>
      <c r="F88" s="119">
        <v>7.5</v>
      </c>
      <c r="G88" s="74" t="s">
        <v>62</v>
      </c>
      <c r="H88" s="99">
        <v>2.15</v>
      </c>
      <c r="I88" s="73" t="s">
        <v>63</v>
      </c>
      <c r="J88" s="568">
        <f t="shared" si="7"/>
        <v>16.125</v>
      </c>
      <c r="K88" s="72" t="s">
        <v>14</v>
      </c>
      <c r="L88" s="79"/>
      <c r="M88" s="79"/>
    </row>
    <row r="89" spans="1:29" ht="13.8" thickBot="1" x14ac:dyDescent="0.3">
      <c r="B89" s="72"/>
      <c r="C89" s="72" t="s">
        <v>79</v>
      </c>
      <c r="D89" s="72"/>
      <c r="E89" s="72"/>
      <c r="F89" s="119">
        <v>0.3</v>
      </c>
      <c r="G89" s="74" t="s">
        <v>62</v>
      </c>
      <c r="H89" s="99">
        <v>42.34</v>
      </c>
      <c r="I89" s="73" t="s">
        <v>5</v>
      </c>
      <c r="J89" s="568">
        <f t="shared" si="7"/>
        <v>12.702</v>
      </c>
      <c r="K89" s="72" t="s">
        <v>14</v>
      </c>
      <c r="L89" s="79"/>
      <c r="M89" s="79"/>
    </row>
    <row r="90" spans="1:29" ht="13.8" thickBot="1" x14ac:dyDescent="0.3">
      <c r="B90" s="72"/>
      <c r="C90" s="72" t="s">
        <v>326</v>
      </c>
      <c r="D90" s="72"/>
      <c r="E90" s="72"/>
      <c r="F90" s="119"/>
      <c r="G90" s="74" t="s">
        <v>20</v>
      </c>
      <c r="H90" s="99"/>
      <c r="I90" s="73" t="s">
        <v>5</v>
      </c>
      <c r="J90" s="568">
        <f t="shared" si="7"/>
        <v>0</v>
      </c>
      <c r="K90" s="72" t="s">
        <v>14</v>
      </c>
      <c r="L90" s="79"/>
      <c r="M90" s="79"/>
    </row>
    <row r="91" spans="1:29" ht="13.8" thickBot="1" x14ac:dyDescent="0.3">
      <c r="B91" s="72"/>
      <c r="C91" s="72" t="s">
        <v>326</v>
      </c>
      <c r="D91" s="72"/>
      <c r="E91" s="72"/>
      <c r="F91" s="119"/>
      <c r="G91" s="74" t="s">
        <v>20</v>
      </c>
      <c r="H91" s="99"/>
      <c r="I91" s="73" t="s">
        <v>5</v>
      </c>
      <c r="J91" s="568">
        <f t="shared" si="7"/>
        <v>0</v>
      </c>
      <c r="K91" s="72" t="s">
        <v>14</v>
      </c>
      <c r="L91" s="79"/>
      <c r="M91" s="79"/>
    </row>
    <row r="92" spans="1:29" x14ac:dyDescent="0.25">
      <c r="B92" s="72"/>
      <c r="C92" s="72"/>
      <c r="D92" s="72"/>
      <c r="E92" s="72"/>
      <c r="F92" s="212"/>
      <c r="G92" s="74"/>
      <c r="H92" s="213"/>
      <c r="I92" s="73"/>
      <c r="J92" s="79"/>
      <c r="K92" s="72"/>
      <c r="L92" s="79"/>
      <c r="M92" s="79"/>
    </row>
    <row r="93" spans="1:29" ht="13.8" thickBot="1" x14ac:dyDescent="0.3">
      <c r="B93" s="214" t="s">
        <v>358</v>
      </c>
      <c r="C93" s="72"/>
      <c r="D93" s="72"/>
      <c r="E93" s="72"/>
      <c r="F93" s="212"/>
      <c r="G93" s="74"/>
      <c r="H93" s="213"/>
      <c r="I93" s="73"/>
      <c r="J93" s="79"/>
      <c r="K93" s="72"/>
      <c r="L93" s="79"/>
      <c r="M93" s="79"/>
    </row>
    <row r="94" spans="1:29" ht="13.8" thickBot="1" x14ac:dyDescent="0.3">
      <c r="B94" s="72"/>
      <c r="C94" s="72" t="s">
        <v>326</v>
      </c>
      <c r="D94" s="72"/>
      <c r="E94" s="72"/>
      <c r="F94" s="119"/>
      <c r="G94" s="74" t="s">
        <v>20</v>
      </c>
      <c r="H94" s="119"/>
      <c r="I94" s="73" t="s">
        <v>5</v>
      </c>
      <c r="J94" s="79">
        <f t="shared" ref="J94:J96" si="8">F94*H94</f>
        <v>0</v>
      </c>
      <c r="K94" s="72" t="s">
        <v>14</v>
      </c>
      <c r="L94" s="79"/>
      <c r="M94" s="79"/>
    </row>
    <row r="95" spans="1:29" ht="13.8" thickBot="1" x14ac:dyDescent="0.3">
      <c r="B95" s="72"/>
      <c r="C95" s="72" t="s">
        <v>326</v>
      </c>
      <c r="D95" s="72"/>
      <c r="E95" s="72"/>
      <c r="F95" s="119"/>
      <c r="G95" s="74" t="s">
        <v>20</v>
      </c>
      <c r="H95" s="119"/>
      <c r="I95" s="73" t="s">
        <v>5</v>
      </c>
      <c r="J95" s="79">
        <f t="shared" si="8"/>
        <v>0</v>
      </c>
      <c r="K95" s="72" t="s">
        <v>14</v>
      </c>
      <c r="L95" s="79"/>
      <c r="M95" s="79"/>
      <c r="AB95" s="8"/>
      <c r="AC95" s="8"/>
    </row>
    <row r="96" spans="1:29" ht="13.8" thickBot="1" x14ac:dyDescent="0.3">
      <c r="B96" s="72"/>
      <c r="C96" s="72" t="s">
        <v>326</v>
      </c>
      <c r="D96" s="72"/>
      <c r="E96" s="72"/>
      <c r="F96" s="119"/>
      <c r="G96" s="74" t="s">
        <v>20</v>
      </c>
      <c r="H96" s="119"/>
      <c r="I96" s="73" t="s">
        <v>5</v>
      </c>
      <c r="J96" s="79">
        <f t="shared" si="8"/>
        <v>0</v>
      </c>
      <c r="K96" s="72" t="s">
        <v>14</v>
      </c>
      <c r="L96" s="79"/>
      <c r="M96" s="79"/>
    </row>
    <row r="97" spans="1:29" s="8" customFormat="1" x14ac:dyDescent="0.25">
      <c r="A97" s="718"/>
      <c r="B97" s="241"/>
      <c r="C97" s="241" t="s">
        <v>196</v>
      </c>
      <c r="D97" s="241"/>
      <c r="E97" s="241"/>
      <c r="F97" s="273"/>
      <c r="G97" s="242"/>
      <c r="H97" s="273"/>
      <c r="I97" s="243"/>
      <c r="J97" s="243">
        <f>SUM(J87:J96)</f>
        <v>41.082999999999998</v>
      </c>
      <c r="K97" s="241" t="s">
        <v>14</v>
      </c>
      <c r="L97" s="241"/>
      <c r="M97" s="241"/>
      <c r="AB97"/>
      <c r="AC97"/>
    </row>
    <row r="98" spans="1:29" x14ac:dyDescent="0.25">
      <c r="B98" s="72"/>
      <c r="C98" s="72"/>
      <c r="D98" s="72"/>
      <c r="E98" s="72"/>
      <c r="F98" s="74"/>
      <c r="G98" s="74"/>
      <c r="H98" s="73"/>
      <c r="I98" s="73"/>
      <c r="J98" s="79"/>
      <c r="K98" s="72"/>
      <c r="L98" s="79"/>
      <c r="M98" s="79"/>
    </row>
    <row r="99" spans="1:29" x14ac:dyDescent="0.25">
      <c r="A99" s="723"/>
      <c r="N99" s="5"/>
      <c r="O99" s="5"/>
    </row>
    <row r="100" spans="1:29" ht="15.6" x14ac:dyDescent="0.3">
      <c r="A100" s="723"/>
      <c r="B100" s="219" t="s">
        <v>293</v>
      </c>
      <c r="C100" s="220"/>
      <c r="D100" s="220"/>
      <c r="E100" s="220"/>
      <c r="F100" s="964" t="s">
        <v>159</v>
      </c>
      <c r="G100" s="964"/>
      <c r="H100" s="964" t="s">
        <v>158</v>
      </c>
      <c r="I100" s="964"/>
      <c r="J100" s="964" t="s">
        <v>324</v>
      </c>
      <c r="K100" s="964"/>
      <c r="L100" s="222"/>
      <c r="M100" s="222"/>
      <c r="N100" s="5"/>
    </row>
    <row r="101" spans="1:29" ht="13.8" thickBot="1" x14ac:dyDescent="0.3">
      <c r="A101" s="723"/>
      <c r="B101" s="220"/>
      <c r="C101" s="220"/>
      <c r="D101" s="220"/>
      <c r="E101" s="220"/>
      <c r="F101" s="220"/>
      <c r="G101" s="220"/>
      <c r="H101" s="221"/>
      <c r="I101" s="221"/>
      <c r="J101" s="222"/>
      <c r="K101" s="222"/>
      <c r="L101" s="222"/>
      <c r="M101" s="222"/>
      <c r="N101" s="5"/>
    </row>
    <row r="102" spans="1:29" ht="13.8" thickBot="1" x14ac:dyDescent="0.3">
      <c r="A102" s="723"/>
      <c r="B102" s="220"/>
      <c r="C102" s="220" t="s">
        <v>632</v>
      </c>
      <c r="D102" s="222"/>
      <c r="E102" s="220"/>
      <c r="F102" s="96">
        <v>1</v>
      </c>
      <c r="G102" s="220" t="s">
        <v>0</v>
      </c>
      <c r="H102" s="99">
        <v>80</v>
      </c>
      <c r="I102" s="221" t="s">
        <v>14</v>
      </c>
      <c r="J102" s="223">
        <f t="shared" ref="J102:J105" si="9">F102*H102</f>
        <v>80</v>
      </c>
      <c r="K102" s="220" t="s">
        <v>14</v>
      </c>
      <c r="L102" s="222"/>
      <c r="M102" s="222"/>
      <c r="N102" s="5"/>
    </row>
    <row r="103" spans="1:29" ht="13.8" thickBot="1" x14ac:dyDescent="0.3">
      <c r="A103" s="723"/>
      <c r="B103" s="220"/>
      <c r="C103" s="220" t="s">
        <v>633</v>
      </c>
      <c r="D103" s="222"/>
      <c r="E103" s="220"/>
      <c r="F103" s="98">
        <v>1</v>
      </c>
      <c r="G103" s="220" t="s">
        <v>0</v>
      </c>
      <c r="H103" s="98">
        <f>45*7</f>
        <v>315</v>
      </c>
      <c r="I103" s="221" t="s">
        <v>14</v>
      </c>
      <c r="J103" s="223">
        <f t="shared" si="9"/>
        <v>315</v>
      </c>
      <c r="K103" s="220" t="s">
        <v>14</v>
      </c>
      <c r="L103" s="222"/>
      <c r="M103" s="222"/>
      <c r="N103" s="5"/>
    </row>
    <row r="104" spans="1:29" ht="13.8" thickBot="1" x14ac:dyDescent="0.3">
      <c r="B104" s="220"/>
      <c r="C104" s="220" t="s">
        <v>294</v>
      </c>
      <c r="D104" s="220"/>
      <c r="E104" s="220"/>
      <c r="F104" s="96"/>
      <c r="G104" s="220" t="s">
        <v>0</v>
      </c>
      <c r="H104" s="99"/>
      <c r="I104" s="221" t="s">
        <v>14</v>
      </c>
      <c r="J104" s="223">
        <f t="shared" si="9"/>
        <v>0</v>
      </c>
      <c r="K104" s="220" t="s">
        <v>14</v>
      </c>
      <c r="L104" s="222"/>
      <c r="M104" s="222"/>
      <c r="AB104" s="8"/>
      <c r="AC104" s="8"/>
    </row>
    <row r="105" spans="1:29" ht="13.8" thickBot="1" x14ac:dyDescent="0.3">
      <c r="B105" s="220"/>
      <c r="C105" s="220" t="s">
        <v>294</v>
      </c>
      <c r="D105" s="220"/>
      <c r="E105" s="220"/>
      <c r="F105" s="96"/>
      <c r="G105" s="220" t="s">
        <v>0</v>
      </c>
      <c r="H105" s="99"/>
      <c r="I105" s="221" t="s">
        <v>14</v>
      </c>
      <c r="J105" s="223">
        <f t="shared" si="9"/>
        <v>0</v>
      </c>
      <c r="K105" s="220" t="s">
        <v>14</v>
      </c>
      <c r="L105" s="222"/>
      <c r="M105" s="222"/>
    </row>
    <row r="106" spans="1:29" s="8" customFormat="1" x14ac:dyDescent="0.25">
      <c r="A106" s="718"/>
      <c r="B106" s="255"/>
      <c r="C106" s="255" t="s">
        <v>196</v>
      </c>
      <c r="D106" s="255"/>
      <c r="E106" s="255"/>
      <c r="F106" s="256"/>
      <c r="G106" s="255"/>
      <c r="H106" s="257"/>
      <c r="I106" s="258"/>
      <c r="J106" s="259">
        <f>SUM(J102:J105)</f>
        <v>395</v>
      </c>
      <c r="K106" s="255" t="s">
        <v>14</v>
      </c>
      <c r="L106" s="255"/>
      <c r="M106" s="255"/>
      <c r="N106"/>
      <c r="O106"/>
      <c r="P106"/>
      <c r="Q106"/>
      <c r="R106"/>
      <c r="S106"/>
      <c r="T106"/>
      <c r="U106"/>
      <c r="AB106"/>
      <c r="AC106"/>
    </row>
    <row r="107" spans="1:29" x14ac:dyDescent="0.25">
      <c r="B107" s="220"/>
      <c r="C107" s="220"/>
      <c r="D107" s="220"/>
      <c r="E107" s="220"/>
      <c r="F107" s="220"/>
      <c r="G107" s="220"/>
      <c r="H107" s="221"/>
      <c r="I107" s="221"/>
      <c r="J107" s="223"/>
      <c r="K107" s="220"/>
      <c r="L107" s="222"/>
      <c r="M107" s="222"/>
    </row>
    <row r="108" spans="1:29" ht="30" customHeight="1" x14ac:dyDescent="0.25">
      <c r="N108" s="8"/>
      <c r="O108" s="8"/>
      <c r="P108" s="8"/>
      <c r="Q108" s="8"/>
      <c r="R108" s="8"/>
      <c r="S108" s="8"/>
      <c r="T108" s="8"/>
      <c r="U108" s="8"/>
    </row>
    <row r="109" spans="1:29" ht="15.6" x14ac:dyDescent="0.3">
      <c r="B109" s="225" t="s">
        <v>637</v>
      </c>
      <c r="C109" s="226"/>
      <c r="D109" s="226"/>
      <c r="E109" s="227"/>
      <c r="F109" s="226" t="s">
        <v>159</v>
      </c>
      <c r="G109" s="228"/>
      <c r="H109" s="228" t="s">
        <v>158</v>
      </c>
      <c r="I109" s="226"/>
      <c r="J109" s="226" t="s">
        <v>324</v>
      </c>
      <c r="K109" s="229"/>
      <c r="L109" s="229"/>
      <c r="M109" s="229"/>
    </row>
    <row r="110" spans="1:29" ht="16.2" thickBot="1" x14ac:dyDescent="0.35">
      <c r="B110" s="225"/>
      <c r="C110" s="226"/>
      <c r="D110" s="226"/>
      <c r="E110" s="227"/>
      <c r="F110" s="226"/>
      <c r="G110" s="228"/>
      <c r="H110" s="228"/>
      <c r="I110" s="226"/>
      <c r="J110" s="226"/>
      <c r="K110" s="229"/>
      <c r="L110" s="229"/>
      <c r="M110" s="229"/>
    </row>
    <row r="111" spans="1:29" ht="13.8" thickBot="1" x14ac:dyDescent="0.3">
      <c r="B111" s="226"/>
      <c r="C111" s="226" t="s">
        <v>296</v>
      </c>
      <c r="D111" s="229"/>
      <c r="E111" s="230"/>
      <c r="F111" s="96"/>
      <c r="G111" s="231" t="s">
        <v>18</v>
      </c>
      <c r="H111" s="96"/>
      <c r="I111" s="232" t="s">
        <v>10</v>
      </c>
      <c r="J111" s="229">
        <f>H111*F111</f>
        <v>0</v>
      </c>
      <c r="K111" s="232" t="s">
        <v>14</v>
      </c>
      <c r="L111" s="229"/>
      <c r="M111" s="229"/>
    </row>
    <row r="112" spans="1:29" ht="13.8" thickBot="1" x14ac:dyDescent="0.3">
      <c r="B112" s="226"/>
      <c r="C112" s="226" t="s">
        <v>450</v>
      </c>
      <c r="D112" s="232">
        <f>F134/2</f>
        <v>4.5</v>
      </c>
      <c r="E112" s="226" t="s">
        <v>9</v>
      </c>
      <c r="F112" s="96">
        <f>+D112*8</f>
        <v>36</v>
      </c>
      <c r="G112" s="228" t="s">
        <v>20</v>
      </c>
      <c r="H112" s="96">
        <v>0.83</v>
      </c>
      <c r="I112" s="232" t="s">
        <v>5</v>
      </c>
      <c r="J112" s="229">
        <f>H112*F112</f>
        <v>29.88</v>
      </c>
      <c r="K112" s="232" t="s">
        <v>14</v>
      </c>
      <c r="L112" s="229"/>
      <c r="M112" s="229"/>
    </row>
    <row r="113" spans="1:29" ht="13.8" thickBot="1" x14ac:dyDescent="0.3">
      <c r="B113" s="226"/>
      <c r="C113" s="226" t="s">
        <v>298</v>
      </c>
      <c r="D113" s="232">
        <f>D112</f>
        <v>4.5</v>
      </c>
      <c r="E113" s="226" t="s">
        <v>9</v>
      </c>
      <c r="F113" s="96">
        <v>11.88</v>
      </c>
      <c r="G113" s="228" t="s">
        <v>21</v>
      </c>
      <c r="H113" s="96">
        <v>4</v>
      </c>
      <c r="I113" s="232" t="s">
        <v>6</v>
      </c>
      <c r="J113" s="229">
        <f t="shared" ref="J113:J117" si="10">H113*F113</f>
        <v>47.52</v>
      </c>
      <c r="K113" s="232" t="s">
        <v>14</v>
      </c>
      <c r="L113" s="229"/>
      <c r="M113" s="229"/>
    </row>
    <row r="114" spans="1:29" ht="13.8" thickBot="1" x14ac:dyDescent="0.3">
      <c r="B114" s="226"/>
      <c r="C114" s="226" t="s">
        <v>19</v>
      </c>
      <c r="D114" s="229"/>
      <c r="E114" s="232"/>
      <c r="F114" s="96"/>
      <c r="G114" s="228" t="s">
        <v>20</v>
      </c>
      <c r="H114" s="96"/>
      <c r="I114" s="232" t="s">
        <v>5</v>
      </c>
      <c r="J114" s="229">
        <f t="shared" si="10"/>
        <v>0</v>
      </c>
      <c r="K114" s="232" t="s">
        <v>14</v>
      </c>
      <c r="L114" s="229"/>
      <c r="M114" s="229"/>
    </row>
    <row r="115" spans="1:29" ht="13.8" thickBot="1" x14ac:dyDescent="0.3">
      <c r="B115" s="226"/>
      <c r="C115" s="226" t="s">
        <v>300</v>
      </c>
      <c r="D115" s="229"/>
      <c r="E115" s="232"/>
      <c r="F115" s="96"/>
      <c r="G115" s="228" t="s">
        <v>20</v>
      </c>
      <c r="H115" s="96"/>
      <c r="I115" s="232" t="s">
        <v>5</v>
      </c>
      <c r="J115" s="229">
        <f t="shared" si="10"/>
        <v>0</v>
      </c>
      <c r="K115" s="232" t="s">
        <v>14</v>
      </c>
      <c r="L115" s="229"/>
      <c r="M115" s="229"/>
    </row>
    <row r="116" spans="1:29" ht="13.8" thickBot="1" x14ac:dyDescent="0.3">
      <c r="B116" s="226"/>
      <c r="C116" s="226" t="s">
        <v>300</v>
      </c>
      <c r="D116" s="229"/>
      <c r="E116" s="232"/>
      <c r="F116" s="96"/>
      <c r="G116" s="228"/>
      <c r="H116" s="96"/>
      <c r="I116" s="232"/>
      <c r="J116" s="229">
        <f t="shared" si="10"/>
        <v>0</v>
      </c>
      <c r="K116" s="232" t="s">
        <v>14</v>
      </c>
      <c r="L116" s="229"/>
      <c r="M116" s="229"/>
      <c r="AB116" s="8"/>
      <c r="AC116" s="8"/>
    </row>
    <row r="117" spans="1:29" ht="13.8" thickBot="1" x14ac:dyDescent="0.3">
      <c r="B117" s="229"/>
      <c r="C117" s="226" t="s">
        <v>300</v>
      </c>
      <c r="D117" s="229"/>
      <c r="E117" s="229"/>
      <c r="F117" s="96"/>
      <c r="G117" s="229"/>
      <c r="H117" s="96"/>
      <c r="I117" s="229"/>
      <c r="J117" s="229">
        <f t="shared" si="10"/>
        <v>0</v>
      </c>
      <c r="K117" s="232" t="s">
        <v>14</v>
      </c>
      <c r="L117" s="229"/>
      <c r="M117" s="229"/>
    </row>
    <row r="118" spans="1:29" s="8" customFormat="1" x14ac:dyDescent="0.25">
      <c r="A118" s="718"/>
      <c r="B118" s="260"/>
      <c r="C118" s="260" t="s">
        <v>196</v>
      </c>
      <c r="D118" s="260"/>
      <c r="E118" s="260"/>
      <c r="F118" s="261"/>
      <c r="G118" s="260"/>
      <c r="H118" s="261"/>
      <c r="I118" s="260"/>
      <c r="J118" s="260">
        <f>SUM(J111:J117)</f>
        <v>77.400000000000006</v>
      </c>
      <c r="K118" s="262" t="s">
        <v>14</v>
      </c>
      <c r="L118" s="260"/>
      <c r="M118" s="260"/>
      <c r="AB118"/>
      <c r="AC118"/>
    </row>
    <row r="119" spans="1:29" x14ac:dyDescent="0.25">
      <c r="B119" s="229"/>
      <c r="C119" s="229"/>
      <c r="D119" s="229"/>
      <c r="E119" s="229"/>
      <c r="F119" s="229"/>
      <c r="G119" s="229"/>
      <c r="H119" s="229"/>
      <c r="I119" s="229"/>
      <c r="J119" s="229"/>
      <c r="K119" s="229"/>
      <c r="L119" s="229"/>
      <c r="M119" s="229"/>
    </row>
    <row r="121" spans="1:29" ht="15.6" x14ac:dyDescent="0.3">
      <c r="B121" s="112" t="s">
        <v>634</v>
      </c>
      <c r="C121" s="101"/>
      <c r="D121" s="101"/>
      <c r="E121" s="101"/>
      <c r="F121" s="101"/>
      <c r="G121" s="101"/>
      <c r="H121" s="101"/>
      <c r="I121" s="101"/>
      <c r="J121" s="101"/>
      <c r="K121" s="101"/>
      <c r="L121" s="101"/>
      <c r="M121" s="101"/>
    </row>
    <row r="122" spans="1:29" ht="15.6" x14ac:dyDescent="0.3">
      <c r="B122" s="112"/>
      <c r="C122" s="101"/>
      <c r="D122" s="101"/>
      <c r="E122" s="101"/>
      <c r="F122" s="101"/>
      <c r="G122" s="101"/>
      <c r="H122" s="101"/>
      <c r="I122" s="101"/>
      <c r="J122" s="101"/>
      <c r="K122" s="101"/>
      <c r="L122" s="101"/>
      <c r="M122" s="101"/>
      <c r="AB122" s="8"/>
      <c r="AC122" s="8"/>
    </row>
    <row r="123" spans="1:29" ht="15" customHeight="1" x14ac:dyDescent="0.25">
      <c r="B123" s="961" t="s">
        <v>302</v>
      </c>
      <c r="C123" s="961"/>
      <c r="D123" s="961"/>
      <c r="E123" s="961"/>
      <c r="F123" s="961"/>
      <c r="G123" s="961"/>
      <c r="H123" s="961"/>
      <c r="I123" s="961"/>
      <c r="J123" s="961"/>
      <c r="K123" s="961"/>
      <c r="L123" s="961"/>
      <c r="M123" s="961"/>
    </row>
    <row r="124" spans="1:29" s="8" customFormat="1" ht="15.6" x14ac:dyDescent="0.3">
      <c r="A124" s="718"/>
      <c r="B124" s="112"/>
      <c r="C124" s="101"/>
      <c r="D124" s="101"/>
      <c r="E124" s="848"/>
      <c r="F124" s="848"/>
      <c r="G124" s="848"/>
      <c r="H124" s="849"/>
      <c r="I124" s="849"/>
      <c r="J124" s="848"/>
      <c r="K124" s="848"/>
      <c r="L124" s="849"/>
      <c r="M124" s="849"/>
      <c r="N124"/>
      <c r="O124"/>
      <c r="P124"/>
      <c r="Q124"/>
      <c r="R124"/>
      <c r="S124"/>
      <c r="T124"/>
      <c r="U124"/>
      <c r="AB124"/>
      <c r="AC124"/>
    </row>
    <row r="125" spans="1:29" ht="15.6" x14ac:dyDescent="0.3">
      <c r="B125" s="112"/>
      <c r="C125" s="101"/>
      <c r="D125" s="101"/>
      <c r="E125" s="962" t="s">
        <v>303</v>
      </c>
      <c r="F125" s="962"/>
      <c r="G125" s="962"/>
      <c r="H125" s="963" t="s">
        <v>158</v>
      </c>
      <c r="I125" s="963"/>
      <c r="J125" s="963" t="s">
        <v>304</v>
      </c>
      <c r="K125" s="963"/>
      <c r="L125" s="963" t="s">
        <v>158</v>
      </c>
      <c r="M125" s="963"/>
    </row>
    <row r="126" spans="1:29" ht="33" customHeight="1" thickBot="1" x14ac:dyDescent="0.3">
      <c r="B126" s="100"/>
      <c r="C126" s="101"/>
      <c r="D126" s="101"/>
      <c r="E126" s="101"/>
      <c r="F126" s="101"/>
      <c r="G126" s="101"/>
      <c r="H126" s="101"/>
      <c r="I126" s="101"/>
      <c r="J126" s="101"/>
      <c r="K126" s="101"/>
      <c r="L126" s="101"/>
      <c r="M126" s="101"/>
      <c r="N126" s="8"/>
      <c r="O126" s="8"/>
      <c r="P126" s="8"/>
      <c r="Q126" s="8"/>
      <c r="R126" s="8"/>
      <c r="S126" s="8"/>
      <c r="T126" s="8"/>
      <c r="U126" s="8"/>
    </row>
    <row r="127" spans="1:29" ht="13.8" thickBot="1" x14ac:dyDescent="0.3">
      <c r="B127" s="101"/>
      <c r="C127" s="102" t="s">
        <v>307</v>
      </c>
      <c r="D127" s="101"/>
      <c r="E127" s="101"/>
      <c r="F127" s="115">
        <v>2</v>
      </c>
      <c r="G127" s="104" t="s">
        <v>22</v>
      </c>
      <c r="H127" s="117">
        <v>14.5</v>
      </c>
      <c r="I127" s="104" t="s">
        <v>11</v>
      </c>
      <c r="J127" s="116"/>
      <c r="K127" s="104" t="s">
        <v>22</v>
      </c>
      <c r="L127" s="117">
        <v>14.5</v>
      </c>
      <c r="M127" s="104" t="s">
        <v>11</v>
      </c>
    </row>
    <row r="128" spans="1:29" ht="13.8" thickBot="1" x14ac:dyDescent="0.3">
      <c r="B128" s="101"/>
      <c r="C128" s="102" t="s">
        <v>635</v>
      </c>
      <c r="D128" s="101"/>
      <c r="E128" s="101"/>
      <c r="F128" s="115">
        <v>3</v>
      </c>
      <c r="G128" s="104" t="s">
        <v>22</v>
      </c>
      <c r="H128" s="114">
        <f t="shared" ref="H128:H133" si="11">$H$127</f>
        <v>14.5</v>
      </c>
      <c r="I128" s="104" t="s">
        <v>11</v>
      </c>
      <c r="J128" s="116"/>
      <c r="K128" s="104" t="s">
        <v>22</v>
      </c>
      <c r="L128" s="114">
        <f t="shared" ref="L128:L133" si="12">$L$127</f>
        <v>14.5</v>
      </c>
      <c r="M128" s="104" t="s">
        <v>11</v>
      </c>
    </row>
    <row r="129" spans="2:21" ht="13.8" thickBot="1" x14ac:dyDescent="0.3">
      <c r="B129" s="101"/>
      <c r="C129" s="102" t="s">
        <v>311</v>
      </c>
      <c r="D129" s="101"/>
      <c r="E129" s="101"/>
      <c r="F129" s="115">
        <v>2</v>
      </c>
      <c r="G129" s="104" t="s">
        <v>22</v>
      </c>
      <c r="H129" s="114">
        <f t="shared" si="11"/>
        <v>14.5</v>
      </c>
      <c r="I129" s="104" t="s">
        <v>11</v>
      </c>
      <c r="J129" s="116"/>
      <c r="K129" s="104" t="s">
        <v>22</v>
      </c>
      <c r="L129" s="114">
        <f t="shared" si="12"/>
        <v>14.5</v>
      </c>
      <c r="M129" s="104" t="s">
        <v>11</v>
      </c>
    </row>
    <row r="130" spans="2:21" ht="13.8" thickBot="1" x14ac:dyDescent="0.3">
      <c r="B130" s="101"/>
      <c r="C130" s="102" t="s">
        <v>636</v>
      </c>
      <c r="D130" s="101"/>
      <c r="E130" s="101"/>
      <c r="F130" s="115">
        <v>2</v>
      </c>
      <c r="G130" s="104" t="s">
        <v>22</v>
      </c>
      <c r="H130" s="114">
        <f t="shared" si="11"/>
        <v>14.5</v>
      </c>
      <c r="I130" s="104" t="s">
        <v>11</v>
      </c>
      <c r="J130" s="116"/>
      <c r="K130" s="104" t="s">
        <v>22</v>
      </c>
      <c r="L130" s="114">
        <f t="shared" si="12"/>
        <v>14.5</v>
      </c>
      <c r="M130" s="104" t="s">
        <v>11</v>
      </c>
    </row>
    <row r="131" spans="2:21" ht="13.8" thickBot="1" x14ac:dyDescent="0.3">
      <c r="B131" s="101"/>
      <c r="C131" s="102" t="s">
        <v>431</v>
      </c>
      <c r="D131" s="101"/>
      <c r="E131" s="101"/>
      <c r="F131" s="116"/>
      <c r="G131" s="104" t="s">
        <v>22</v>
      </c>
      <c r="H131" s="114">
        <f t="shared" si="11"/>
        <v>14.5</v>
      </c>
      <c r="I131" s="104" t="s">
        <v>11</v>
      </c>
      <c r="J131" s="97"/>
      <c r="K131" s="104" t="s">
        <v>22</v>
      </c>
      <c r="L131" s="114">
        <f t="shared" si="12"/>
        <v>14.5</v>
      </c>
      <c r="M131" s="104" t="s">
        <v>11</v>
      </c>
    </row>
    <row r="132" spans="2:21" ht="13.8" thickBot="1" x14ac:dyDescent="0.3">
      <c r="B132" s="101"/>
      <c r="C132" s="102" t="s">
        <v>431</v>
      </c>
      <c r="D132" s="101"/>
      <c r="E132" s="101"/>
      <c r="F132" s="116"/>
      <c r="G132" s="104" t="s">
        <v>22</v>
      </c>
      <c r="H132" s="114">
        <f t="shared" si="11"/>
        <v>14.5</v>
      </c>
      <c r="I132" s="104" t="s">
        <v>11</v>
      </c>
      <c r="J132" s="97"/>
      <c r="K132" s="104" t="s">
        <v>22</v>
      </c>
      <c r="L132" s="114">
        <f t="shared" si="12"/>
        <v>14.5</v>
      </c>
      <c r="M132" s="104" t="s">
        <v>11</v>
      </c>
    </row>
    <row r="133" spans="2:21" ht="13.8" thickBot="1" x14ac:dyDescent="0.3">
      <c r="B133" s="101"/>
      <c r="C133" s="102" t="s">
        <v>431</v>
      </c>
      <c r="D133" s="103"/>
      <c r="E133" s="103"/>
      <c r="F133" s="97"/>
      <c r="G133" s="104" t="s">
        <v>22</v>
      </c>
      <c r="H133" s="114">
        <f t="shared" si="11"/>
        <v>14.5</v>
      </c>
      <c r="I133" s="104" t="s">
        <v>11</v>
      </c>
      <c r="J133" s="97"/>
      <c r="K133" s="104" t="s">
        <v>22</v>
      </c>
      <c r="L133" s="114">
        <f t="shared" si="12"/>
        <v>14.5</v>
      </c>
      <c r="M133" s="104" t="s">
        <v>11</v>
      </c>
    </row>
    <row r="134" spans="2:21" x14ac:dyDescent="0.25">
      <c r="B134" s="264"/>
      <c r="C134" s="265" t="s">
        <v>196</v>
      </c>
      <c r="D134" s="266"/>
      <c r="E134" s="266"/>
      <c r="F134" s="267">
        <f>SUM(F127:F133)</f>
        <v>9</v>
      </c>
      <c r="G134" s="264" t="s">
        <v>22</v>
      </c>
      <c r="H134" s="268">
        <f>F134*H127</f>
        <v>130.5</v>
      </c>
      <c r="I134" s="264" t="s">
        <v>14</v>
      </c>
      <c r="J134" s="269">
        <f>SUM(J127:J133)</f>
        <v>0</v>
      </c>
      <c r="K134" s="264" t="s">
        <v>22</v>
      </c>
      <c r="L134" s="268">
        <f>J134*L127</f>
        <v>0</v>
      </c>
      <c r="M134" s="264" t="s">
        <v>14</v>
      </c>
    </row>
    <row r="136" spans="2:21" ht="40.049999999999997" customHeight="1" x14ac:dyDescent="0.25">
      <c r="N136" s="8"/>
      <c r="O136" s="8"/>
      <c r="P136" s="8"/>
      <c r="Q136" s="8"/>
      <c r="R136" s="8"/>
      <c r="S136" s="8"/>
      <c r="T136" s="8"/>
      <c r="U136" s="8"/>
    </row>
    <row r="139" spans="2:21" ht="37.950000000000003" customHeight="1" x14ac:dyDescent="0.25"/>
    <row r="149" spans="1:29" x14ac:dyDescent="0.25">
      <c r="AB149" s="8"/>
      <c r="AC149" s="8"/>
    </row>
    <row r="151" spans="1:29" s="8" customFormat="1" x14ac:dyDescent="0.25">
      <c r="A151" s="718"/>
      <c r="B151"/>
      <c r="C151"/>
      <c r="D151"/>
      <c r="E151"/>
      <c r="F151"/>
      <c r="G151"/>
      <c r="H151"/>
      <c r="I151"/>
      <c r="J151"/>
      <c r="K151"/>
      <c r="L151"/>
      <c r="M151"/>
      <c r="N151"/>
      <c r="O151"/>
      <c r="P151"/>
      <c r="Q151"/>
      <c r="R151"/>
      <c r="S151"/>
      <c r="T151"/>
      <c r="U151"/>
      <c r="AB151"/>
      <c r="AC151"/>
    </row>
    <row r="153" spans="1:29" x14ac:dyDescent="0.25">
      <c r="N153" s="8"/>
      <c r="O153" s="8"/>
      <c r="P153" s="8"/>
      <c r="Q153" s="8"/>
      <c r="R153" s="8"/>
      <c r="S153" s="8"/>
      <c r="T153" s="8"/>
      <c r="U153" s="8"/>
    </row>
  </sheetData>
  <mergeCells count="37">
    <mergeCell ref="B50:C50"/>
    <mergeCell ref="C53:D53"/>
    <mergeCell ref="C46:D46"/>
    <mergeCell ref="B2:C2"/>
    <mergeCell ref="B4:L4"/>
    <mergeCell ref="B11:D11"/>
    <mergeCell ref="B24:E24"/>
    <mergeCell ref="B25:E25"/>
    <mergeCell ref="B26:D26"/>
    <mergeCell ref="B29:C29"/>
    <mergeCell ref="C32:D32"/>
    <mergeCell ref="B36:D36"/>
    <mergeCell ref="C39:D39"/>
    <mergeCell ref="B43:D43"/>
    <mergeCell ref="B55:D55"/>
    <mergeCell ref="B60:D60"/>
    <mergeCell ref="B62:D62"/>
    <mergeCell ref="L67:M67"/>
    <mergeCell ref="F69:G69"/>
    <mergeCell ref="H69:I69"/>
    <mergeCell ref="J69:K69"/>
    <mergeCell ref="B64:D64"/>
    <mergeCell ref="B67:E67"/>
    <mergeCell ref="F82:G82"/>
    <mergeCell ref="H82:I82"/>
    <mergeCell ref="J82:K82"/>
    <mergeCell ref="F75:G75"/>
    <mergeCell ref="H75:I75"/>
    <mergeCell ref="J75:K75"/>
    <mergeCell ref="F100:G100"/>
    <mergeCell ref="H100:I100"/>
    <mergeCell ref="J100:K100"/>
    <mergeCell ref="B123:M123"/>
    <mergeCell ref="E125:G125"/>
    <mergeCell ref="H125:I125"/>
    <mergeCell ref="J125:K125"/>
    <mergeCell ref="L125:M125"/>
  </mergeCells>
  <hyperlinks>
    <hyperlink ref="L67" location="'Avomaan mansikka'!B2" display="PALAA SIVUN YLÄLAITAAN" xr:uid="{F25A073E-27AC-4B46-9C78-AD3D5FE802EC}"/>
    <hyperlink ref="L67:M67" location="Höstråg!A1" display="TILL SIDANS BÖRJAN" xr:uid="{706659C5-F5F4-F242-84EA-4A9DE8A33BB1}"/>
    <hyperlink ref="B2" location="Tilakokonaisuus!A1" display="PALAA ETUSIVULLE" xr:uid="{F7C5A9B5-EFCE-42BA-9F0D-47D015593899}"/>
    <hyperlink ref="B2:C2" location="'Gårdens info'!A1" display="TILL FRAMSIDAN" xr:uid="{8572D68F-18E3-4A98-9CB3-0947B0427577}"/>
    <hyperlink ref="B24:E24" location="'Gårdens info'!B140" display="ALLMÄNNA KOSTNADER, höstrågens andel" xr:uid="{8707860C-E518-4F0F-B675-455948BE4A23}"/>
    <hyperlink ref="B29:C29" location="Ägendom!B15" display="BYGGNADER" xr:uid="{5652F391-AAD3-49C4-93CA-59CDB2FA5089}"/>
    <hyperlink ref="B36:D36" location="Ägendom!B28" display="MASINER OCH UTRUSTNING" xr:uid="{AD45A8B4-8BA1-49E6-8891-454F9A0037CB}"/>
    <hyperlink ref="B43:D43" location="Ägendom!B51" display="LÅNGVARIGA PRODUKTIONSMEDEL" xr:uid="{0A4E82EA-9101-41EF-8AEA-46D69D732AEB}"/>
    <hyperlink ref="B50:C50" location="Ägendom!B70" display="TÄCKDIKEN" xr:uid="{230EB93F-63E7-4B39-87E8-BB5C34B10CCA}"/>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9A91A-5042-844D-A4D8-C7E4D43DE138}">
  <sheetPr>
    <tabColor theme="6" tint="0.39997558519241921"/>
  </sheetPr>
  <dimension ref="A1:AC149"/>
  <sheetViews>
    <sheetView zoomScaleNormal="100" workbookViewId="0">
      <selection activeCell="B2" sqref="B2:C2"/>
    </sheetView>
  </sheetViews>
  <sheetFormatPr defaultColWidth="11.44140625" defaultRowHeight="13.2" x14ac:dyDescent="0.25"/>
  <cols>
    <col min="1" max="1" width="5.33203125" style="594" customWidth="1"/>
    <col min="3" max="3" width="16.77734375" customWidth="1"/>
    <col min="4" max="4" width="22.6640625" customWidth="1"/>
    <col min="5" max="5" width="12.109375" bestFit="1" customWidth="1"/>
    <col min="6" max="6" width="20.6640625" bestFit="1" customWidth="1"/>
    <col min="7" max="7" width="6.33203125" customWidth="1"/>
    <col min="8" max="8" width="17.77734375" customWidth="1"/>
    <col min="9" max="9" width="6" customWidth="1"/>
    <col min="10" max="10" width="15.109375" customWidth="1"/>
    <col min="11" max="11" width="9.6640625" customWidth="1"/>
    <col min="12" max="12" width="20" customWidth="1"/>
    <col min="13" max="13" width="12.109375" customWidth="1"/>
    <col min="14" max="14" width="9.44140625" customWidth="1"/>
    <col min="15" max="15" width="6.77734375" customWidth="1"/>
    <col min="16" max="16" width="4.44140625" customWidth="1"/>
    <col min="17" max="17" width="15" customWidth="1"/>
    <col min="18" max="18" width="5.109375" customWidth="1"/>
    <col min="19" max="19" width="18.33203125" bestFit="1" customWidth="1"/>
    <col min="28" max="28" width="11.6640625" bestFit="1" customWidth="1"/>
    <col min="29" max="29" width="11" bestFit="1" customWidth="1"/>
  </cols>
  <sheetData>
    <row r="1" spans="1:13" s="594" customFormat="1" ht="22.8" x14ac:dyDescent="0.4">
      <c r="B1" s="601" t="s">
        <v>610</v>
      </c>
    </row>
    <row r="2" spans="1:13" ht="27" customHeight="1" x14ac:dyDescent="0.3">
      <c r="B2" s="976" t="s">
        <v>337</v>
      </c>
      <c r="C2" s="976"/>
      <c r="F2" s="91"/>
      <c r="G2" s="91"/>
      <c r="H2" s="91"/>
    </row>
    <row r="3" spans="1:13" ht="27" customHeight="1" x14ac:dyDescent="0.3">
      <c r="B3" s="233"/>
      <c r="C3" s="233"/>
    </row>
    <row r="4" spans="1:13" ht="52.05" customHeight="1" x14ac:dyDescent="0.3">
      <c r="B4" s="942" t="s">
        <v>236</v>
      </c>
      <c r="C4" s="942"/>
      <c r="D4" s="942"/>
      <c r="E4" s="942"/>
      <c r="F4" s="942"/>
      <c r="G4" s="942"/>
      <c r="H4" s="942"/>
      <c r="I4" s="942"/>
      <c r="J4" s="942"/>
      <c r="K4" s="942"/>
      <c r="L4" s="942"/>
    </row>
    <row r="5" spans="1:13" ht="27" customHeight="1" thickBot="1" x14ac:dyDescent="0.35">
      <c r="B5" s="233"/>
      <c r="C5" s="233"/>
    </row>
    <row r="6" spans="1:13" ht="27" customHeight="1" x14ac:dyDescent="0.4">
      <c r="B6" s="318" t="s">
        <v>640</v>
      </c>
      <c r="C6" s="282"/>
      <c r="D6" s="283"/>
      <c r="E6" s="283"/>
      <c r="F6" s="283"/>
      <c r="G6" s="283"/>
      <c r="H6" s="283"/>
      <c r="I6" s="283"/>
      <c r="J6" s="283"/>
      <c r="K6" s="283"/>
      <c r="L6" s="283"/>
      <c r="M6" s="284"/>
    </row>
    <row r="7" spans="1:13" ht="27" customHeight="1" x14ac:dyDescent="0.4">
      <c r="B7" s="285"/>
      <c r="C7" s="286"/>
      <c r="D7" s="148"/>
      <c r="E7" s="148"/>
      <c r="F7" s="148"/>
      <c r="G7" s="148"/>
      <c r="H7" s="148"/>
      <c r="I7" s="148"/>
      <c r="J7" s="148"/>
      <c r="K7" s="148"/>
      <c r="L7" s="148"/>
      <c r="M7" s="287"/>
    </row>
    <row r="8" spans="1:13" ht="21" x14ac:dyDescent="0.4">
      <c r="B8" s="319" t="s">
        <v>238</v>
      </c>
      <c r="C8" s="286"/>
      <c r="D8" s="148"/>
      <c r="E8" s="151"/>
      <c r="F8" s="151"/>
      <c r="G8" s="151"/>
      <c r="H8" s="151"/>
      <c r="I8" s="148"/>
      <c r="J8" s="148"/>
      <c r="K8" s="148"/>
      <c r="L8" s="148"/>
      <c r="M8" s="287"/>
    </row>
    <row r="9" spans="1:13" ht="21" customHeight="1" x14ac:dyDescent="0.25">
      <c r="B9" s="288"/>
      <c r="C9" s="289" t="s">
        <v>201</v>
      </c>
      <c r="D9" s="151"/>
      <c r="E9" s="151"/>
      <c r="F9" s="290">
        <f>H9*'Gårdens info'!G35</f>
        <v>0</v>
      </c>
      <c r="G9" s="151" t="s">
        <v>14</v>
      </c>
      <c r="H9" s="362">
        <f>IF('Gårdens info'!G35&gt;0,(('Gårdens info'!D10*'Gårdens info'!G10*#REF!*#REF!)+('Gårdens info'!D10*'Gårdens info'!G10*#REF!*#REF!)+('Gårdens info'!D10*'Gårdens info'!G10*#REF!*#REF!)+('Gårdens info'!D10*'Gårdens info'!G10*#REF!*#REF!)+('Gårdens info'!D10*'Gårdens info'!G10*#REF!*#REF!)+('Gårdens info'!D10*'Gårdens info'!G10*#REF!*#REF!)+('Gårdens info'!D10*'Gårdens info'!G10*#REF!*#REF!))/(('Gårdens info'!D10*'Gårdens info'!G10)),0)</f>
        <v>0</v>
      </c>
      <c r="I9" s="151" t="s">
        <v>6</v>
      </c>
      <c r="J9" s="290">
        <f>F9*'Gårdens info'!D35</f>
        <v>0</v>
      </c>
      <c r="K9" s="151" t="s">
        <v>651</v>
      </c>
      <c r="L9" s="151"/>
      <c r="M9" s="287"/>
    </row>
    <row r="10" spans="1:13" ht="15" x14ac:dyDescent="0.25">
      <c r="B10" s="288"/>
      <c r="C10" s="151" t="s">
        <v>224</v>
      </c>
      <c r="D10" s="151"/>
      <c r="E10" s="151"/>
      <c r="F10" s="290">
        <f>IF('Gårdens info'!D35&gt;0,Stöd!J6/'Gårdens info'!D37*Stöd!L6+Stöd!J7/'Gårdens info'!D37*Stöd!L7+Stöd!J8/'Gårdens info'!D37*Stöd!L8+Stöd!J12/'Gårdens info'!D37*Stöd!L12+Stöd!J13/'Gårdens info'!D37*Stöd!L13+Stöd!J15/'Gårdens info'!D37*Stöd!L15+Stöd!J16/'Gårdens info'!D37*Stöd!L16+Stöd!J18/'Gårdens info'!D37*Stöd!L18+Stöd!J19/'Gårdens info'!D37*Stöd!L19+Stöd!J20/'Gårdens info'!D37*Stöd!L20+Stöd!J21/'Gårdens info'!D37*Stöd!L21,0)</f>
        <v>0</v>
      </c>
      <c r="G10" s="151" t="s">
        <v>14</v>
      </c>
      <c r="H10" s="362">
        <f>IF('Gårdens info'!G35&gt;0,F10/'Gårdens info'!G35,0)</f>
        <v>0</v>
      </c>
      <c r="I10" s="151" t="s">
        <v>6</v>
      </c>
      <c r="J10" s="290">
        <f>F10*'Gårdens info'!D35</f>
        <v>0</v>
      </c>
      <c r="K10" s="151" t="s">
        <v>651</v>
      </c>
      <c r="L10" s="151"/>
      <c r="M10" s="287"/>
    </row>
    <row r="11" spans="1:13" s="8" customFormat="1" ht="21" customHeight="1" x14ac:dyDescent="0.4">
      <c r="A11" s="595"/>
      <c r="B11" s="932" t="s">
        <v>240</v>
      </c>
      <c r="C11" s="933"/>
      <c r="D11" s="933"/>
      <c r="E11" s="324"/>
      <c r="F11" s="328">
        <f>F9+F10</f>
        <v>0</v>
      </c>
      <c r="G11" s="329" t="s">
        <v>14</v>
      </c>
      <c r="H11" s="330">
        <f>H9+H10</f>
        <v>0</v>
      </c>
      <c r="I11" s="329" t="s">
        <v>6</v>
      </c>
      <c r="J11" s="331">
        <f>J9+J10</f>
        <v>0</v>
      </c>
      <c r="K11" s="329" t="s">
        <v>651</v>
      </c>
      <c r="L11" s="329"/>
      <c r="M11" s="321"/>
    </row>
    <row r="12" spans="1:13" s="8" customFormat="1" ht="21" x14ac:dyDescent="0.4">
      <c r="A12" s="595"/>
      <c r="B12" s="844"/>
      <c r="C12" s="845"/>
      <c r="D12" s="845"/>
      <c r="E12" s="324"/>
      <c r="F12" s="328"/>
      <c r="G12" s="329"/>
      <c r="H12" s="330"/>
      <c r="I12" s="329"/>
      <c r="J12" s="331"/>
      <c r="K12" s="329"/>
      <c r="L12" s="329"/>
      <c r="M12" s="321"/>
    </row>
    <row r="13" spans="1:13" ht="22.05" customHeight="1" x14ac:dyDescent="0.3">
      <c r="B13" s="292"/>
      <c r="C13" s="286"/>
      <c r="D13" s="148"/>
      <c r="E13" s="148"/>
      <c r="F13" s="148"/>
      <c r="G13" s="148"/>
      <c r="H13" s="148"/>
      <c r="I13" s="148"/>
      <c r="J13" s="293"/>
      <c r="K13" s="148"/>
      <c r="L13" s="148"/>
      <c r="M13" s="287"/>
    </row>
    <row r="14" spans="1:13" ht="21" x14ac:dyDescent="0.4">
      <c r="B14" s="319" t="s">
        <v>613</v>
      </c>
      <c r="C14" s="286"/>
      <c r="D14" s="148"/>
      <c r="E14" s="148"/>
      <c r="F14" s="148"/>
      <c r="G14" s="148"/>
      <c r="H14" s="148"/>
      <c r="I14" s="148"/>
      <c r="J14" s="293"/>
      <c r="K14" s="148"/>
      <c r="L14" s="148"/>
      <c r="M14" s="287"/>
    </row>
    <row r="15" spans="1:13" s="77" customFormat="1" ht="16.95" customHeight="1" x14ac:dyDescent="0.3">
      <c r="A15" s="597"/>
      <c r="B15" s="602"/>
      <c r="C15" s="306"/>
      <c r="D15" s="310"/>
      <c r="E15" s="310"/>
      <c r="F15" s="311"/>
      <c r="G15" s="153"/>
      <c r="H15" s="310"/>
      <c r="I15" s="310"/>
      <c r="J15" s="310"/>
      <c r="K15" s="310"/>
      <c r="L15" s="310"/>
      <c r="M15" s="295"/>
    </row>
    <row r="16" spans="1:13" s="91" customFormat="1" ht="16.95" customHeight="1" x14ac:dyDescent="0.25">
      <c r="A16" s="597"/>
      <c r="B16" s="602"/>
      <c r="C16" s="289" t="s">
        <v>243</v>
      </c>
      <c r="D16" s="297"/>
      <c r="E16" s="297"/>
      <c r="F16" s="308">
        <f>IF('Gårdens info'!D35&gt;0,J71,0)</f>
        <v>0</v>
      </c>
      <c r="G16" s="151" t="s">
        <v>14</v>
      </c>
      <c r="H16" s="299">
        <f>IF('Gårdens info'!G35&gt;0,F16/'Gårdens info'!$G$22,0)</f>
        <v>0</v>
      </c>
      <c r="I16" s="151" t="s">
        <v>6</v>
      </c>
      <c r="J16" s="298">
        <f>F16*'Gårdens info'!$D$35</f>
        <v>0</v>
      </c>
      <c r="K16" s="151" t="s">
        <v>651</v>
      </c>
      <c r="L16" s="297"/>
      <c r="M16" s="300"/>
    </row>
    <row r="17" spans="1:29" s="91" customFormat="1" ht="15" x14ac:dyDescent="0.25">
      <c r="A17" s="597"/>
      <c r="B17" s="296"/>
      <c r="C17" s="289" t="s">
        <v>244</v>
      </c>
      <c r="D17" s="297"/>
      <c r="E17" s="297"/>
      <c r="F17" s="298">
        <f>IF('Gårdens info'!D35&gt;0,J79,0)</f>
        <v>0</v>
      </c>
      <c r="G17" s="151" t="s">
        <v>14</v>
      </c>
      <c r="H17" s="299">
        <f>IF('Gårdens info'!G35&gt;0,F17/'Gårdens info'!$G$22,0)</f>
        <v>0</v>
      </c>
      <c r="I17" s="151" t="s">
        <v>6</v>
      </c>
      <c r="J17" s="298">
        <f>F17*'Gårdens info'!$D$35</f>
        <v>0</v>
      </c>
      <c r="K17" s="151" t="s">
        <v>651</v>
      </c>
      <c r="L17" s="297"/>
      <c r="M17" s="300"/>
    </row>
    <row r="18" spans="1:29" s="91" customFormat="1" ht="15" x14ac:dyDescent="0.25">
      <c r="A18" s="597"/>
      <c r="B18" s="296"/>
      <c r="C18" s="289" t="s">
        <v>245</v>
      </c>
      <c r="D18" s="297"/>
      <c r="E18" s="297"/>
      <c r="F18" s="298">
        <f>IF('Gårdens info'!D35&gt;0,J94,0)</f>
        <v>0</v>
      </c>
      <c r="G18" s="151" t="s">
        <v>14</v>
      </c>
      <c r="H18" s="299">
        <f>IF('Gårdens info'!G35&gt;0,F18/'Gårdens info'!$G$22,0)</f>
        <v>0</v>
      </c>
      <c r="I18" s="151" t="s">
        <v>6</v>
      </c>
      <c r="J18" s="298">
        <f>F18*'Gårdens info'!$D$35</f>
        <v>0</v>
      </c>
      <c r="K18" s="151" t="s">
        <v>651</v>
      </c>
      <c r="L18" s="297"/>
      <c r="M18" s="300"/>
    </row>
    <row r="19" spans="1:29" s="91" customFormat="1" ht="15" x14ac:dyDescent="0.25">
      <c r="A19" s="597"/>
      <c r="B19" s="296"/>
      <c r="C19" s="289" t="s">
        <v>387</v>
      </c>
      <c r="D19" s="297"/>
      <c r="E19" s="297"/>
      <c r="F19" s="298">
        <f>IF('Gårdens info'!D35&gt;0,J102,0)</f>
        <v>0</v>
      </c>
      <c r="G19" s="151" t="s">
        <v>14</v>
      </c>
      <c r="H19" s="299">
        <f>IF('Gårdens info'!G35&gt;0,F19/'Gårdens info'!$G$22,0)</f>
        <v>0</v>
      </c>
      <c r="I19" s="151" t="s">
        <v>6</v>
      </c>
      <c r="J19" s="298">
        <f>F19*'Gårdens info'!$D$35</f>
        <v>0</v>
      </c>
      <c r="K19" s="151" t="s">
        <v>651</v>
      </c>
      <c r="L19" s="297"/>
      <c r="M19" s="300"/>
    </row>
    <row r="20" spans="1:29" s="91" customFormat="1" ht="15" x14ac:dyDescent="0.25">
      <c r="A20" s="597"/>
      <c r="B20" s="296"/>
      <c r="C20" s="289" t="s">
        <v>249</v>
      </c>
      <c r="D20" s="297"/>
      <c r="E20" s="297"/>
      <c r="F20" s="298">
        <f>IF('Gårdens info'!D35&gt;0,J114,0)</f>
        <v>0</v>
      </c>
      <c r="G20" s="151" t="s">
        <v>14</v>
      </c>
      <c r="H20" s="299">
        <f>IF('Gårdens info'!G35&gt;0,F20/'Gårdens info'!$G$22,0)</f>
        <v>0</v>
      </c>
      <c r="I20" s="151" t="s">
        <v>6</v>
      </c>
      <c r="J20" s="298">
        <f>F20*'Gårdens info'!$D$35</f>
        <v>0</v>
      </c>
      <c r="K20" s="151" t="s">
        <v>651</v>
      </c>
      <c r="L20" s="297"/>
      <c r="M20" s="300"/>
    </row>
    <row r="21" spans="1:29" s="91" customFormat="1" ht="15" x14ac:dyDescent="0.25">
      <c r="A21" s="597"/>
      <c r="B21" s="296"/>
      <c r="C21" s="289" t="s">
        <v>614</v>
      </c>
      <c r="D21" s="297"/>
      <c r="E21" s="297"/>
      <c r="F21" s="298">
        <f>IF('Gårdens info'!D35&gt;0,L130,0)</f>
        <v>0</v>
      </c>
      <c r="G21" s="151" t="s">
        <v>14</v>
      </c>
      <c r="H21" s="299">
        <f>IF('Gårdens info'!G35&gt;0,F21/'Gårdens info'!$G$22,0)</f>
        <v>0</v>
      </c>
      <c r="I21" s="151" t="s">
        <v>6</v>
      </c>
      <c r="J21" s="298">
        <f>F21*'Gårdens info'!$D$35</f>
        <v>0</v>
      </c>
      <c r="K21" s="151" t="s">
        <v>651</v>
      </c>
      <c r="L21" s="297"/>
      <c r="M21" s="300"/>
    </row>
    <row r="22" spans="1:29" ht="15.6" x14ac:dyDescent="0.3">
      <c r="B22" s="312"/>
      <c r="C22" s="301" t="s">
        <v>196</v>
      </c>
      <c r="D22" s="302"/>
      <c r="E22" s="302"/>
      <c r="F22" s="303">
        <f>SUM(F16:F21)</f>
        <v>0</v>
      </c>
      <c r="G22" s="304" t="s">
        <v>14</v>
      </c>
      <c r="H22" s="305">
        <f>SUM(H16:H21)</f>
        <v>0</v>
      </c>
      <c r="I22" s="304" t="s">
        <v>6</v>
      </c>
      <c r="J22" s="303">
        <f>SUM(J16:J21)</f>
        <v>0</v>
      </c>
      <c r="K22" s="304" t="s">
        <v>651</v>
      </c>
      <c r="L22" s="302"/>
      <c r="M22" s="313"/>
      <c r="N22" s="91"/>
      <c r="O22" s="91"/>
      <c r="P22" s="91"/>
      <c r="Q22" s="91"/>
      <c r="R22" s="91"/>
      <c r="S22" s="91"/>
      <c r="T22" s="91"/>
      <c r="U22" s="91"/>
    </row>
    <row r="23" spans="1:29" s="77" customFormat="1" ht="17.399999999999999" x14ac:dyDescent="0.3">
      <c r="A23" s="596"/>
      <c r="B23" s="292"/>
      <c r="C23" s="306"/>
      <c r="D23" s="307"/>
      <c r="E23" s="307"/>
      <c r="F23" s="308"/>
      <c r="G23" s="151"/>
      <c r="H23" s="307"/>
      <c r="I23" s="307"/>
      <c r="J23" s="307"/>
      <c r="K23" s="307"/>
      <c r="L23" s="307"/>
      <c r="M23" s="287"/>
      <c r="N23" s="91"/>
      <c r="O23" s="91"/>
      <c r="P23" s="91"/>
      <c r="R23" s="91"/>
      <c r="S23" s="91"/>
      <c r="T23" s="91"/>
      <c r="U23" s="91"/>
      <c r="AB23" s="77" t="s">
        <v>243</v>
      </c>
      <c r="AC23" s="678">
        <f t="shared" ref="AC23:AC28" si="0">F16</f>
        <v>0</v>
      </c>
    </row>
    <row r="24" spans="1:29" s="91" customFormat="1" ht="17.399999999999999" customHeight="1" x14ac:dyDescent="0.3">
      <c r="A24" s="597"/>
      <c r="B24" s="947" t="s">
        <v>642</v>
      </c>
      <c r="C24" s="948"/>
      <c r="D24" s="948"/>
      <c r="E24" s="948"/>
      <c r="F24" s="325">
        <f>IF('Gårdens info'!D35&gt;0,J24/'Gårdens info'!D35,0)</f>
        <v>0</v>
      </c>
      <c r="G24" s="304" t="s">
        <v>14</v>
      </c>
      <c r="H24" s="326">
        <f>IF('Gårdens info'!G35&gt;0,F24/'Gårdens info'!G22,0)</f>
        <v>0</v>
      </c>
      <c r="I24" s="304" t="s">
        <v>6</v>
      </c>
      <c r="J24" s="625">
        <f>'Gårdens info'!G147/'Gårdens info'!D43*'Gårdens info'!D35</f>
        <v>0</v>
      </c>
      <c r="K24" s="304" t="s">
        <v>651</v>
      </c>
      <c r="L24" s="327"/>
      <c r="M24" s="321"/>
      <c r="N24"/>
      <c r="O24"/>
      <c r="P24"/>
      <c r="S24"/>
      <c r="T24"/>
      <c r="U24"/>
      <c r="AB24" s="91" t="str">
        <f>C17</f>
        <v>Gödsel och kalk</v>
      </c>
      <c r="AC24" s="458">
        <f t="shared" si="0"/>
        <v>0</v>
      </c>
    </row>
    <row r="25" spans="1:29" s="91" customFormat="1" ht="17.399999999999999" customHeight="1" x14ac:dyDescent="0.3">
      <c r="A25" s="597"/>
      <c r="B25" s="949" t="s">
        <v>643</v>
      </c>
      <c r="C25" s="950"/>
      <c r="D25" s="950"/>
      <c r="E25" s="950"/>
      <c r="F25" s="325">
        <f>'Gårdens info'!$G$42*'Gårdens info'!$D$42/'Gårdens info'!$D$37*'Gårdens info'!D35</f>
        <v>0</v>
      </c>
      <c r="G25" s="304" t="s">
        <v>14</v>
      </c>
      <c r="H25" s="326">
        <f>IF('Gårdens info'!G35&gt;0,F25/'Gårdens info'!G35,0)</f>
        <v>0</v>
      </c>
      <c r="I25" s="304" t="s">
        <v>6</v>
      </c>
      <c r="J25" s="625">
        <f>F25*'Gårdens info'!$D$35</f>
        <v>0</v>
      </c>
      <c r="K25" s="304" t="s">
        <v>651</v>
      </c>
      <c r="L25" s="327"/>
      <c r="M25" s="321"/>
      <c r="N25" s="77"/>
      <c r="O25" s="77"/>
      <c r="P25" s="77"/>
      <c r="S25" s="77"/>
      <c r="T25" s="77"/>
      <c r="U25" s="77"/>
      <c r="AB25" s="91" t="str">
        <f>C18</f>
        <v>IPM Växtskydd</v>
      </c>
      <c r="AC25" s="458">
        <f t="shared" si="0"/>
        <v>0</v>
      </c>
    </row>
    <row r="26" spans="1:29" s="91" customFormat="1" ht="21" customHeight="1" x14ac:dyDescent="0.4">
      <c r="A26" s="597"/>
      <c r="B26" s="932" t="s">
        <v>226</v>
      </c>
      <c r="C26" s="933"/>
      <c r="D26" s="933"/>
      <c r="E26" s="324"/>
      <c r="F26" s="328">
        <f>F22+F24+F25</f>
        <v>0</v>
      </c>
      <c r="G26" s="329" t="s">
        <v>14</v>
      </c>
      <c r="H26" s="330">
        <f>H22+H24+H25</f>
        <v>0</v>
      </c>
      <c r="I26" s="329" t="s">
        <v>6</v>
      </c>
      <c r="J26" s="331">
        <f>J22+J24+J25</f>
        <v>0</v>
      </c>
      <c r="K26" s="329" t="s">
        <v>651</v>
      </c>
      <c r="L26" s="329"/>
      <c r="M26" s="321"/>
      <c r="AB26" s="91" t="str">
        <f t="shared" ref="AB26:AB28" si="1">C19</f>
        <v>Maskinhyra och entreprenad</v>
      </c>
      <c r="AC26" s="458">
        <f t="shared" si="0"/>
        <v>0</v>
      </c>
    </row>
    <row r="27" spans="1:29" s="91" customFormat="1" ht="21" x14ac:dyDescent="0.4">
      <c r="A27" s="597"/>
      <c r="B27" s="844"/>
      <c r="C27" s="845"/>
      <c r="D27" s="845"/>
      <c r="E27" s="324"/>
      <c r="F27" s="328"/>
      <c r="G27" s="329"/>
      <c r="H27" s="330"/>
      <c r="I27" s="329"/>
      <c r="J27" s="331"/>
      <c r="K27" s="329"/>
      <c r="L27" s="329"/>
      <c r="M27" s="321"/>
      <c r="AB27" s="91" t="str">
        <f t="shared" si="1"/>
        <v>Energikostnader</v>
      </c>
      <c r="AC27" s="458">
        <f t="shared" si="0"/>
        <v>0</v>
      </c>
    </row>
    <row r="28" spans="1:29" s="91" customFormat="1" ht="21" x14ac:dyDescent="0.4">
      <c r="A28" s="597"/>
      <c r="B28" s="319" t="s">
        <v>644</v>
      </c>
      <c r="C28" s="286"/>
      <c r="D28" s="148"/>
      <c r="E28" s="148"/>
      <c r="F28" s="148"/>
      <c r="G28" s="148"/>
      <c r="H28" s="148"/>
      <c r="I28" s="148"/>
      <c r="J28" s="293"/>
      <c r="K28" s="148"/>
      <c r="L28" s="148"/>
      <c r="M28" s="287"/>
      <c r="AB28" s="91" t="str">
        <f t="shared" si="1"/>
        <v xml:space="preserve">Anställd arbetskraft </v>
      </c>
      <c r="AC28" s="458">
        <f t="shared" si="0"/>
        <v>0</v>
      </c>
    </row>
    <row r="29" spans="1:29" s="91" customFormat="1" ht="21" customHeight="1" x14ac:dyDescent="0.4">
      <c r="A29" s="597"/>
      <c r="B29" s="947" t="s">
        <v>149</v>
      </c>
      <c r="C29" s="948"/>
      <c r="D29" s="845"/>
      <c r="E29" s="324"/>
      <c r="F29" s="328"/>
      <c r="G29" s="329"/>
      <c r="H29" s="330"/>
      <c r="I29" s="329"/>
      <c r="J29" s="331"/>
      <c r="K29" s="329"/>
      <c r="L29" s="329"/>
      <c r="M29" s="321"/>
      <c r="AB29" s="882" t="s">
        <v>572</v>
      </c>
      <c r="AC29" s="459">
        <f>F24</f>
        <v>0</v>
      </c>
    </row>
    <row r="30" spans="1:29" s="91" customFormat="1" ht="21" x14ac:dyDescent="0.4">
      <c r="A30" s="597"/>
      <c r="B30" s="350"/>
      <c r="C30" s="846" t="s">
        <v>264</v>
      </c>
      <c r="D30" s="845"/>
      <c r="E30" s="324"/>
      <c r="F30" s="338">
        <f>IF('Gårdens info'!$D$35&gt;0,J30/'Gårdens info'!$D$35,0)</f>
        <v>0</v>
      </c>
      <c r="G30" s="151" t="s">
        <v>14</v>
      </c>
      <c r="H30" s="339">
        <f>IF('Gårdens info'!G35&gt;0,F30/'Gårdens info'!$G$22,0)</f>
        <v>0</v>
      </c>
      <c r="I30" s="151" t="s">
        <v>6</v>
      </c>
      <c r="J30" s="298">
        <f>Ägendom!BC22</f>
        <v>0</v>
      </c>
      <c r="K30" s="151" t="s">
        <v>651</v>
      </c>
      <c r="L30" s="329"/>
      <c r="M30" s="321"/>
      <c r="AB30" s="91" t="s">
        <v>728</v>
      </c>
      <c r="AC30" s="459">
        <f>F25</f>
        <v>0</v>
      </c>
    </row>
    <row r="31" spans="1:29" s="236" customFormat="1" ht="21" x14ac:dyDescent="0.4">
      <c r="A31" s="598"/>
      <c r="B31" s="350"/>
      <c r="C31" s="846" t="s">
        <v>265</v>
      </c>
      <c r="D31" s="845"/>
      <c r="E31" s="324"/>
      <c r="F31" s="338">
        <f>IF('Gårdens info'!$D$35&gt;0,J31/'Gårdens info'!$D$35,0)</f>
        <v>0</v>
      </c>
      <c r="G31" s="151" t="s">
        <v>14</v>
      </c>
      <c r="H31" s="339">
        <f>IF('Gårdens info'!G35&gt;0,F31/'Gårdens info'!$G$22,0)</f>
        <v>0</v>
      </c>
      <c r="I31" s="151" t="s">
        <v>6</v>
      </c>
      <c r="J31" s="298">
        <f>Ägendom!BY22</f>
        <v>0</v>
      </c>
      <c r="K31" s="151" t="s">
        <v>651</v>
      </c>
      <c r="L31" s="329"/>
      <c r="M31" s="321"/>
      <c r="N31" s="91"/>
      <c r="O31" s="91"/>
      <c r="P31" s="91"/>
      <c r="S31" s="91"/>
      <c r="T31" s="91"/>
      <c r="U31" s="91"/>
      <c r="AB31" s="91" t="s">
        <v>576</v>
      </c>
      <c r="AC31" s="460">
        <f>F34</f>
        <v>0</v>
      </c>
    </row>
    <row r="32" spans="1:29" ht="17.399999999999999" customHeight="1" x14ac:dyDescent="0.3">
      <c r="B32" s="350"/>
      <c r="C32" s="941" t="s">
        <v>266</v>
      </c>
      <c r="D32" s="941"/>
      <c r="E32" s="324"/>
      <c r="F32" s="338">
        <f>IF('Gårdens info'!$D$35&gt;0,J32/'Gårdens info'!$D$35,0)</f>
        <v>0</v>
      </c>
      <c r="G32" s="151" t="s">
        <v>14</v>
      </c>
      <c r="H32" s="339">
        <f>IF('Gårdens info'!G35&gt;0,F32/'Gårdens info'!$G$22,0)</f>
        <v>0</v>
      </c>
      <c r="I32" s="151" t="s">
        <v>6</v>
      </c>
      <c r="J32" s="298">
        <f>Ägendom!CU22</f>
        <v>0</v>
      </c>
      <c r="K32" s="151" t="s">
        <v>651</v>
      </c>
      <c r="L32" s="329"/>
      <c r="M32" s="321"/>
      <c r="N32" s="91"/>
      <c r="O32" s="91"/>
      <c r="P32" s="91"/>
      <c r="S32" s="91"/>
      <c r="T32" s="91"/>
      <c r="U32" s="91"/>
      <c r="AB32" s="91" t="s">
        <v>577</v>
      </c>
      <c r="AC32" s="461">
        <f>F41</f>
        <v>0</v>
      </c>
    </row>
    <row r="33" spans="1:29" ht="21" x14ac:dyDescent="0.4">
      <c r="B33" s="350"/>
      <c r="C33" s="846" t="s">
        <v>399</v>
      </c>
      <c r="D33" s="845"/>
      <c r="E33" s="324"/>
      <c r="F33" s="338">
        <f>IF('Gårdens info'!$D$35&gt;0,J33/'Gårdens info'!$D$35,0)</f>
        <v>0</v>
      </c>
      <c r="G33" s="151" t="s">
        <v>14</v>
      </c>
      <c r="H33" s="339">
        <f>IF('Gårdens info'!G35&gt;0,F33/'Gårdens info'!$G$22,0)</f>
        <v>0</v>
      </c>
      <c r="I33" s="151" t="s">
        <v>6</v>
      </c>
      <c r="J33" s="298">
        <f>Ägendom!DQ22</f>
        <v>0</v>
      </c>
      <c r="K33" s="151" t="s">
        <v>651</v>
      </c>
      <c r="L33" s="329"/>
      <c r="M33" s="321"/>
      <c r="N33" s="236"/>
      <c r="O33" s="236"/>
      <c r="P33" s="236"/>
      <c r="S33" s="236"/>
      <c r="T33" s="236"/>
      <c r="U33" s="236"/>
      <c r="AB33" s="91" t="s">
        <v>578</v>
      </c>
      <c r="AC33" s="461">
        <f>F48</f>
        <v>0</v>
      </c>
    </row>
    <row r="34" spans="1:29" ht="20.399999999999999" x14ac:dyDescent="0.35">
      <c r="B34" s="352"/>
      <c r="C34" s="340" t="s">
        <v>196</v>
      </c>
      <c r="D34" s="341"/>
      <c r="E34" s="324"/>
      <c r="F34" s="342">
        <f>SUM(F30:F33)</f>
        <v>0</v>
      </c>
      <c r="G34" s="151" t="s">
        <v>14</v>
      </c>
      <c r="H34" s="348">
        <f t="shared" ref="H34:J34" si="2">SUM(H30:H33)</f>
        <v>0</v>
      </c>
      <c r="I34" s="151" t="s">
        <v>6</v>
      </c>
      <c r="J34" s="342">
        <f t="shared" si="2"/>
        <v>0</v>
      </c>
      <c r="K34" s="151" t="s">
        <v>651</v>
      </c>
      <c r="L34" s="343"/>
      <c r="M34" s="321"/>
      <c r="AB34" s="91" t="s">
        <v>162</v>
      </c>
      <c r="AC34" s="461">
        <f>F54</f>
        <v>0</v>
      </c>
    </row>
    <row r="35" spans="1:29" s="91" customFormat="1" ht="21" x14ac:dyDescent="0.4">
      <c r="A35" s="597"/>
      <c r="B35" s="350"/>
      <c r="C35" s="846"/>
      <c r="D35" s="845"/>
      <c r="E35" s="324"/>
      <c r="F35" s="338"/>
      <c r="G35" s="151"/>
      <c r="H35" s="339"/>
      <c r="I35" s="151"/>
      <c r="J35" s="298"/>
      <c r="K35" s="151"/>
      <c r="L35" s="329"/>
      <c r="M35" s="321"/>
      <c r="N35"/>
      <c r="O35"/>
      <c r="P35"/>
      <c r="S35"/>
      <c r="T35"/>
      <c r="U35"/>
      <c r="AB35" s="91" t="s">
        <v>727</v>
      </c>
      <c r="AC35" s="459">
        <f>F58</f>
        <v>0</v>
      </c>
    </row>
    <row r="36" spans="1:29" s="91" customFormat="1" ht="17.399999999999999" customHeight="1" x14ac:dyDescent="0.3">
      <c r="A36" s="597"/>
      <c r="B36" s="970" t="s">
        <v>400</v>
      </c>
      <c r="C36" s="971"/>
      <c r="D36" s="971"/>
      <c r="E36" s="324"/>
      <c r="F36" s="338"/>
      <c r="G36" s="151"/>
      <c r="H36" s="339"/>
      <c r="I36" s="151"/>
      <c r="J36" s="298"/>
      <c r="K36" s="151"/>
      <c r="L36" s="329"/>
      <c r="M36" s="321"/>
      <c r="N36"/>
      <c r="O36"/>
      <c r="P36"/>
      <c r="S36"/>
      <c r="T36"/>
      <c r="U36"/>
      <c r="AB36" s="8"/>
      <c r="AC36" s="8"/>
    </row>
    <row r="37" spans="1:29" s="91" customFormat="1" ht="21" x14ac:dyDescent="0.4">
      <c r="A37" s="597"/>
      <c r="B37" s="350"/>
      <c r="C37" s="846" t="s">
        <v>264</v>
      </c>
      <c r="D37" s="845"/>
      <c r="E37" s="324"/>
      <c r="F37" s="338">
        <f>IF('Gårdens info'!$D$35&gt;0,J37/'Gårdens info'!$D$35,0)</f>
        <v>0</v>
      </c>
      <c r="G37" s="151" t="s">
        <v>14</v>
      </c>
      <c r="H37" s="339">
        <f>IF('Gårdens info'!G35&gt;0,F37/'Gårdens info'!$G$22,0)</f>
        <v>0</v>
      </c>
      <c r="I37" s="151" t="s">
        <v>6</v>
      </c>
      <c r="J37" s="298">
        <f>Ägendom!BC51</f>
        <v>0</v>
      </c>
      <c r="K37" s="151" t="s">
        <v>651</v>
      </c>
      <c r="L37" s="329"/>
      <c r="M37" s="321"/>
      <c r="AB37" s="8"/>
      <c r="AC37" s="8"/>
    </row>
    <row r="38" spans="1:29" s="8" customFormat="1" ht="21" x14ac:dyDescent="0.4">
      <c r="A38" s="595"/>
      <c r="B38" s="350"/>
      <c r="C38" s="846" t="s">
        <v>265</v>
      </c>
      <c r="D38" s="845"/>
      <c r="E38" s="324"/>
      <c r="F38" s="338">
        <f>IF('Gårdens info'!$D$35&gt;0,J38/'Gårdens info'!$D$35,0)</f>
        <v>0</v>
      </c>
      <c r="G38" s="151" t="s">
        <v>14</v>
      </c>
      <c r="H38" s="339">
        <f>IF('Gårdens info'!G35&gt;0,F38/'Gårdens info'!$G$22,0)</f>
        <v>0</v>
      </c>
      <c r="I38" s="151" t="s">
        <v>6</v>
      </c>
      <c r="J38" s="298">
        <f>Ägendom!BY51</f>
        <v>0</v>
      </c>
      <c r="K38" s="151" t="s">
        <v>651</v>
      </c>
      <c r="L38" s="329"/>
      <c r="M38" s="321"/>
      <c r="N38" s="91"/>
      <c r="O38" s="91"/>
      <c r="P38" s="91"/>
      <c r="Q38" s="91"/>
      <c r="R38" s="91"/>
      <c r="S38" s="91"/>
      <c r="T38" s="91"/>
      <c r="U38" s="91"/>
    </row>
    <row r="39" spans="1:29" s="8" customFormat="1" ht="17.399999999999999" customHeight="1" x14ac:dyDescent="0.3">
      <c r="A39" s="595"/>
      <c r="B39" s="350"/>
      <c r="C39" s="941" t="s">
        <v>266</v>
      </c>
      <c r="D39" s="941"/>
      <c r="E39" s="324"/>
      <c r="F39" s="338">
        <f>IF('Gårdens info'!$D$35&gt;0,J39/'Gårdens info'!$D$35,0)</f>
        <v>0</v>
      </c>
      <c r="G39" s="151" t="s">
        <v>14</v>
      </c>
      <c r="H39" s="339">
        <f>IF('Gårdens info'!G35&gt;0,F39/'Gårdens info'!$G$22,0)</f>
        <v>0</v>
      </c>
      <c r="I39" s="151" t="s">
        <v>6</v>
      </c>
      <c r="J39" s="298">
        <f>Ägendom!CU51</f>
        <v>0</v>
      </c>
      <c r="K39" s="151" t="s">
        <v>651</v>
      </c>
      <c r="L39" s="329"/>
      <c r="M39" s="321"/>
      <c r="N39" s="91"/>
      <c r="O39" s="91"/>
      <c r="P39" s="91"/>
      <c r="Q39" s="91"/>
      <c r="R39" s="91"/>
      <c r="S39" s="91"/>
      <c r="T39" s="91"/>
      <c r="U39" s="91"/>
    </row>
    <row r="40" spans="1:29" s="8" customFormat="1" ht="21" x14ac:dyDescent="0.4">
      <c r="A40" s="595"/>
      <c r="B40" s="350"/>
      <c r="C40" s="846" t="s">
        <v>399</v>
      </c>
      <c r="D40" s="845"/>
      <c r="E40" s="324"/>
      <c r="F40" s="338">
        <f>IF('Gårdens info'!$D$35&gt;0,J40/'Gårdens info'!$D$35,0)</f>
        <v>0</v>
      </c>
      <c r="G40" s="151" t="s">
        <v>14</v>
      </c>
      <c r="H40" s="339">
        <f>IF('Gårdens info'!G35&gt;0,F40/'Gårdens info'!$G$22,0)</f>
        <v>0</v>
      </c>
      <c r="I40" s="151" t="s">
        <v>6</v>
      </c>
      <c r="J40" s="298">
        <f>Ägendom!DQ51</f>
        <v>0</v>
      </c>
      <c r="K40" s="151" t="s">
        <v>651</v>
      </c>
      <c r="L40" s="329"/>
      <c r="M40" s="321"/>
    </row>
    <row r="41" spans="1:29" s="8" customFormat="1" ht="20.399999999999999" x14ac:dyDescent="0.35">
      <c r="A41" s="595"/>
      <c r="B41" s="352"/>
      <c r="C41" s="340" t="s">
        <v>196</v>
      </c>
      <c r="D41" s="341"/>
      <c r="E41" s="324"/>
      <c r="F41" s="342">
        <f>SUM(F37:F40)</f>
        <v>0</v>
      </c>
      <c r="G41" s="151" t="s">
        <v>14</v>
      </c>
      <c r="H41" s="348">
        <f t="shared" ref="H41:J41" si="3">SUM(H37:H40)</f>
        <v>0</v>
      </c>
      <c r="I41" s="151" t="s">
        <v>6</v>
      </c>
      <c r="J41" s="342">
        <f t="shared" si="3"/>
        <v>0</v>
      </c>
      <c r="K41" s="151" t="s">
        <v>651</v>
      </c>
      <c r="L41" s="343"/>
      <c r="M41" s="321"/>
    </row>
    <row r="42" spans="1:29" s="8" customFormat="1" ht="21" x14ac:dyDescent="0.4">
      <c r="A42" s="595"/>
      <c r="B42" s="350"/>
      <c r="C42" s="846"/>
      <c r="D42" s="845"/>
      <c r="E42" s="324"/>
      <c r="F42" s="338"/>
      <c r="G42" s="151"/>
      <c r="H42" s="339"/>
      <c r="I42" s="151"/>
      <c r="J42" s="298"/>
      <c r="K42" s="151"/>
      <c r="L42" s="329"/>
      <c r="M42" s="321"/>
      <c r="AB42"/>
      <c r="AC42"/>
    </row>
    <row r="43" spans="1:29" s="8" customFormat="1" ht="43.05" customHeight="1" x14ac:dyDescent="0.3">
      <c r="A43" s="595"/>
      <c r="B43" s="947" t="s">
        <v>151</v>
      </c>
      <c r="C43" s="948"/>
      <c r="D43" s="948"/>
      <c r="E43" s="324"/>
      <c r="F43" s="338"/>
      <c r="G43" s="151"/>
      <c r="H43" s="339"/>
      <c r="I43" s="151"/>
      <c r="J43" s="298"/>
      <c r="K43" s="151"/>
      <c r="L43" s="329"/>
      <c r="M43" s="321"/>
    </row>
    <row r="44" spans="1:29" ht="21" x14ac:dyDescent="0.4">
      <c r="B44" s="350"/>
      <c r="C44" s="846" t="s">
        <v>264</v>
      </c>
      <c r="D44" s="845"/>
      <c r="E44" s="324"/>
      <c r="F44" s="338">
        <f>IF('Gårdens info'!$D$35&gt;0,J44/'Gårdens info'!$D$35,0)</f>
        <v>0</v>
      </c>
      <c r="G44" s="151" t="s">
        <v>14</v>
      </c>
      <c r="H44" s="339">
        <f>IF('Gårdens info'!G35&gt;0,F44/'Gårdens info'!$G$22,0)</f>
        <v>0</v>
      </c>
      <c r="I44" s="151" t="s">
        <v>6</v>
      </c>
      <c r="J44" s="298">
        <f>Ägendom!BC76</f>
        <v>0</v>
      </c>
      <c r="K44" s="151" t="s">
        <v>651</v>
      </c>
      <c r="L44" s="329"/>
      <c r="M44" s="321"/>
      <c r="N44" s="8"/>
      <c r="O44" s="8"/>
      <c r="P44" s="8"/>
      <c r="Q44" s="8"/>
      <c r="R44" s="8"/>
      <c r="S44" s="8"/>
      <c r="T44" s="8"/>
      <c r="U44" s="8"/>
      <c r="AB44" s="8"/>
      <c r="AC44" s="8"/>
    </row>
    <row r="45" spans="1:29" s="8" customFormat="1" ht="21" x14ac:dyDescent="0.4">
      <c r="A45" s="595"/>
      <c r="B45" s="350"/>
      <c r="C45" s="846" t="s">
        <v>265</v>
      </c>
      <c r="D45" s="845"/>
      <c r="E45" s="324"/>
      <c r="F45" s="338">
        <f>IF('Gårdens info'!$D$35&gt;0,J45/'Gårdens info'!$D$35,0)</f>
        <v>0</v>
      </c>
      <c r="G45" s="151" t="s">
        <v>14</v>
      </c>
      <c r="H45" s="339">
        <f>IF('Gårdens info'!G35&gt;0,F45/'Gårdens info'!$G$22,0)</f>
        <v>0</v>
      </c>
      <c r="I45" s="151" t="s">
        <v>6</v>
      </c>
      <c r="J45" s="298">
        <f>Ägendom!BY76</f>
        <v>0</v>
      </c>
      <c r="K45" s="151" t="s">
        <v>651</v>
      </c>
      <c r="L45" s="329"/>
      <c r="M45" s="321"/>
    </row>
    <row r="46" spans="1:29" s="8" customFormat="1" ht="17.399999999999999" customHeight="1" x14ac:dyDescent="0.3">
      <c r="A46" s="595"/>
      <c r="B46" s="350"/>
      <c r="C46" s="941" t="s">
        <v>266</v>
      </c>
      <c r="D46" s="941"/>
      <c r="E46" s="324"/>
      <c r="F46" s="338">
        <f>IF('Gårdens info'!$D$35&gt;0,J46/'Gårdens info'!$D$35,0)</f>
        <v>0</v>
      </c>
      <c r="G46" s="151" t="s">
        <v>14</v>
      </c>
      <c r="H46" s="339">
        <f>IF('Gårdens info'!G35&gt;0,F46/'Gårdens info'!$G$22,0)</f>
        <v>0</v>
      </c>
      <c r="I46" s="151" t="s">
        <v>6</v>
      </c>
      <c r="J46" s="298">
        <f>Ägendom!CU76</f>
        <v>0</v>
      </c>
      <c r="K46" s="151" t="s">
        <v>651</v>
      </c>
      <c r="L46" s="329"/>
      <c r="M46" s="321"/>
      <c r="N46"/>
      <c r="O46"/>
      <c r="P46"/>
      <c r="Q46"/>
      <c r="R46"/>
      <c r="S46"/>
      <c r="T46"/>
      <c r="U46"/>
    </row>
    <row r="47" spans="1:29" s="8" customFormat="1" ht="21" x14ac:dyDescent="0.4">
      <c r="A47" s="595"/>
      <c r="B47" s="350"/>
      <c r="C47" s="846" t="s">
        <v>399</v>
      </c>
      <c r="D47" s="845"/>
      <c r="E47" s="324"/>
      <c r="F47" s="338">
        <f>IF('Gårdens info'!$D$35&gt;0,J47/'Gårdens info'!$D$35,0)</f>
        <v>0</v>
      </c>
      <c r="G47" s="151" t="s">
        <v>14</v>
      </c>
      <c r="H47" s="339">
        <f>IF('Gårdens info'!G35&gt;0,F47/'Gårdens info'!$G$22,0)</f>
        <v>0</v>
      </c>
      <c r="I47" s="151" t="s">
        <v>6</v>
      </c>
      <c r="J47" s="298">
        <f>Ägendom!DQ76</f>
        <v>0</v>
      </c>
      <c r="K47" s="151" t="s">
        <v>651</v>
      </c>
      <c r="L47" s="329"/>
      <c r="M47" s="321"/>
    </row>
    <row r="48" spans="1:29" s="8" customFormat="1" ht="20.399999999999999" x14ac:dyDescent="0.35">
      <c r="A48" s="595"/>
      <c r="B48" s="352"/>
      <c r="C48" s="340" t="s">
        <v>196</v>
      </c>
      <c r="D48" s="341"/>
      <c r="E48" s="324"/>
      <c r="F48" s="342">
        <f>SUM(F44:F47)</f>
        <v>0</v>
      </c>
      <c r="G48" s="151" t="s">
        <v>14</v>
      </c>
      <c r="H48" s="348">
        <f t="shared" ref="H48:J48" si="4">SUM(H44:H47)</f>
        <v>0</v>
      </c>
      <c r="I48" s="151" t="s">
        <v>6</v>
      </c>
      <c r="J48" s="342">
        <f t="shared" si="4"/>
        <v>0</v>
      </c>
      <c r="K48" s="151" t="s">
        <v>651</v>
      </c>
      <c r="L48" s="343"/>
      <c r="M48" s="321"/>
    </row>
    <row r="49" spans="1:29" s="8" customFormat="1" ht="21" x14ac:dyDescent="0.4">
      <c r="A49" s="595"/>
      <c r="B49" s="350"/>
      <c r="C49" s="846"/>
      <c r="D49" s="845"/>
      <c r="E49" s="324"/>
      <c r="F49" s="338"/>
      <c r="G49" s="151"/>
      <c r="H49" s="339"/>
      <c r="I49" s="151"/>
      <c r="J49" s="298"/>
      <c r="K49" s="151"/>
      <c r="L49" s="329"/>
      <c r="M49" s="321"/>
    </row>
    <row r="50" spans="1:29" s="8" customFormat="1" ht="21" customHeight="1" x14ac:dyDescent="0.4">
      <c r="A50" s="595"/>
      <c r="B50" s="951" t="s">
        <v>160</v>
      </c>
      <c r="C50" s="952"/>
      <c r="D50" s="845"/>
      <c r="E50" s="324"/>
      <c r="F50" s="338"/>
      <c r="G50" s="151"/>
      <c r="H50" s="339"/>
      <c r="I50" s="151"/>
      <c r="J50" s="298"/>
      <c r="K50" s="151"/>
      <c r="L50" s="329"/>
      <c r="M50" s="321"/>
    </row>
    <row r="51" spans="1:29" s="8" customFormat="1" ht="21" x14ac:dyDescent="0.4">
      <c r="A51" s="595"/>
      <c r="B51" s="350"/>
      <c r="C51" s="846" t="s">
        <v>264</v>
      </c>
      <c r="D51" s="845"/>
      <c r="E51" s="324"/>
      <c r="F51" s="338">
        <f>IF('Gårdens info'!$D$35&gt;0,J51/'Gårdens info'!$D$35,0)</f>
        <v>0</v>
      </c>
      <c r="G51" s="151" t="s">
        <v>14</v>
      </c>
      <c r="H51" s="339">
        <f>IF('Gårdens info'!G35&gt;0,F51/'Gårdens info'!$G$22,0)</f>
        <v>0</v>
      </c>
      <c r="I51" s="151" t="s">
        <v>6</v>
      </c>
      <c r="J51" s="298">
        <f>Ägendom!BC79</f>
        <v>0</v>
      </c>
      <c r="K51" s="151" t="s">
        <v>651</v>
      </c>
      <c r="L51" s="329"/>
      <c r="M51" s="321"/>
    </row>
    <row r="52" spans="1:29" s="8" customFormat="1" ht="19.95" customHeight="1" x14ac:dyDescent="0.4">
      <c r="A52" s="595"/>
      <c r="B52" s="350"/>
      <c r="C52" s="846" t="s">
        <v>265</v>
      </c>
      <c r="D52" s="845"/>
      <c r="E52" s="324"/>
      <c r="F52" s="338">
        <f>IF('Gårdens info'!$D$35&gt;0,J52/'Gårdens info'!$D$35,0)</f>
        <v>0</v>
      </c>
      <c r="G52" s="151" t="s">
        <v>14</v>
      </c>
      <c r="H52" s="339">
        <f>IF('Gårdens info'!G35&gt;0,F52/'Gårdens info'!$G$22,0)</f>
        <v>0</v>
      </c>
      <c r="I52" s="151" t="s">
        <v>6</v>
      </c>
      <c r="J52" s="298">
        <f>Ägendom!BY79</f>
        <v>0</v>
      </c>
      <c r="K52" s="151" t="s">
        <v>651</v>
      </c>
      <c r="L52" s="329"/>
      <c r="M52" s="321"/>
    </row>
    <row r="53" spans="1:29" s="8" customFormat="1" ht="17.399999999999999" customHeight="1" x14ac:dyDescent="0.3">
      <c r="A53" s="595"/>
      <c r="B53" s="350"/>
      <c r="C53" s="941" t="s">
        <v>266</v>
      </c>
      <c r="D53" s="941"/>
      <c r="E53" s="324"/>
      <c r="F53" s="338">
        <f>IF('Gårdens info'!$D$35&gt;0,J53/'Gårdens info'!$D$35,0)</f>
        <v>0</v>
      </c>
      <c r="G53" s="151" t="s">
        <v>14</v>
      </c>
      <c r="H53" s="339">
        <f>IF('Gårdens info'!G35&gt;0,F53/'Gårdens info'!$G$22,0)</f>
        <v>0</v>
      </c>
      <c r="I53" s="151" t="s">
        <v>6</v>
      </c>
      <c r="J53" s="298">
        <f>Ägendom!CU79</f>
        <v>0</v>
      </c>
      <c r="K53" s="151" t="s">
        <v>651</v>
      </c>
      <c r="L53" s="329"/>
      <c r="M53" s="321"/>
    </row>
    <row r="54" spans="1:29" s="8" customFormat="1" ht="15.6" x14ac:dyDescent="0.3">
      <c r="A54" s="595"/>
      <c r="B54" s="349"/>
      <c r="C54" s="323" t="s">
        <v>196</v>
      </c>
      <c r="D54" s="323"/>
      <c r="E54" s="323"/>
      <c r="F54" s="342">
        <f>SUM(F51:F53)</f>
        <v>0</v>
      </c>
      <c r="G54" s="151" t="s">
        <v>14</v>
      </c>
      <c r="H54" s="348">
        <f t="shared" ref="H54:J54" si="5">SUM(H51:H53)</f>
        <v>0</v>
      </c>
      <c r="I54" s="151" t="s">
        <v>6</v>
      </c>
      <c r="J54" s="342">
        <f t="shared" si="5"/>
        <v>0</v>
      </c>
      <c r="K54" s="151" t="s">
        <v>651</v>
      </c>
      <c r="L54" s="347"/>
      <c r="M54" s="353"/>
    </row>
    <row r="55" spans="1:29" s="8" customFormat="1" ht="21" customHeight="1" x14ac:dyDescent="0.4">
      <c r="A55" s="595"/>
      <c r="B55" s="932" t="s">
        <v>229</v>
      </c>
      <c r="C55" s="933"/>
      <c r="D55" s="933"/>
      <c r="E55" s="324"/>
      <c r="F55" s="328">
        <f>F34+F41+F48+F54</f>
        <v>0</v>
      </c>
      <c r="G55" s="329" t="s">
        <v>14</v>
      </c>
      <c r="H55" s="330">
        <f>H34+H41+H48+H54</f>
        <v>0</v>
      </c>
      <c r="I55" s="329" t="s">
        <v>6</v>
      </c>
      <c r="J55" s="331">
        <f>J34+J41+J48+J54</f>
        <v>0</v>
      </c>
      <c r="K55" s="329" t="s">
        <v>651</v>
      </c>
      <c r="L55" s="329"/>
      <c r="M55" s="321"/>
    </row>
    <row r="56" spans="1:29" s="8" customFormat="1" ht="15.6" x14ac:dyDescent="0.3">
      <c r="A56" s="595"/>
      <c r="B56" s="349"/>
      <c r="C56" s="324"/>
      <c r="D56" s="324"/>
      <c r="E56" s="324"/>
      <c r="F56" s="325"/>
      <c r="G56" s="304"/>
      <c r="H56" s="326"/>
      <c r="I56" s="304"/>
      <c r="J56" s="320"/>
      <c r="K56" s="304"/>
      <c r="L56" s="327"/>
      <c r="M56" s="321"/>
    </row>
    <row r="57" spans="1:29" s="8" customFormat="1" ht="21" x14ac:dyDescent="0.4">
      <c r="A57" s="595"/>
      <c r="B57" s="319" t="s">
        <v>230</v>
      </c>
      <c r="C57" s="324"/>
      <c r="D57" s="324"/>
      <c r="E57" s="324"/>
      <c r="F57" s="325"/>
      <c r="G57" s="304"/>
      <c r="H57" s="326"/>
      <c r="I57" s="304"/>
      <c r="J57" s="320"/>
      <c r="K57" s="304"/>
      <c r="L57" s="327"/>
      <c r="M57" s="321"/>
    </row>
    <row r="58" spans="1:29" s="8" customFormat="1" ht="15" x14ac:dyDescent="0.25">
      <c r="A58" s="595"/>
      <c r="B58" s="296"/>
      <c r="C58" s="289" t="s">
        <v>230</v>
      </c>
      <c r="D58" s="297"/>
      <c r="E58" s="297"/>
      <c r="F58" s="298">
        <f>IF('Gårdens info'!D35&gt;0,H130,0)</f>
        <v>0</v>
      </c>
      <c r="G58" s="151" t="s">
        <v>14</v>
      </c>
      <c r="H58" s="299">
        <f>IF('Gårdens info'!G35&gt;0,F58/'Gårdens info'!$G$22,0)</f>
        <v>0</v>
      </c>
      <c r="I58" s="151" t="s">
        <v>6</v>
      </c>
      <c r="J58" s="298">
        <f>F58*'Gårdens info'!$D$35</f>
        <v>0</v>
      </c>
      <c r="K58" s="151" t="s">
        <v>651</v>
      </c>
      <c r="L58" s="297"/>
      <c r="M58" s="300"/>
    </row>
    <row r="59" spans="1:29" s="8" customFormat="1" ht="17.399999999999999" x14ac:dyDescent="0.3">
      <c r="A59" s="595"/>
      <c r="B59" s="850"/>
      <c r="C59" s="306"/>
      <c r="D59" s="310"/>
      <c r="E59" s="310"/>
      <c r="F59" s="311"/>
      <c r="G59" s="153"/>
      <c r="H59" s="310"/>
      <c r="I59" s="310"/>
      <c r="J59" s="310"/>
      <c r="K59" s="310"/>
      <c r="L59" s="310"/>
      <c r="M59" s="295"/>
    </row>
    <row r="60" spans="1:29" s="8" customFormat="1" ht="21" customHeight="1" x14ac:dyDescent="0.4">
      <c r="A60" s="595"/>
      <c r="B60" s="932" t="s">
        <v>230</v>
      </c>
      <c r="C60" s="933"/>
      <c r="D60" s="933"/>
      <c r="E60" s="324"/>
      <c r="F60" s="328">
        <f>F58</f>
        <v>0</v>
      </c>
      <c r="G60" s="329" t="s">
        <v>14</v>
      </c>
      <c r="H60" s="330">
        <f>H58</f>
        <v>0</v>
      </c>
      <c r="I60" s="329" t="s">
        <v>6</v>
      </c>
      <c r="J60" s="331">
        <f>J58</f>
        <v>0</v>
      </c>
      <c r="K60" s="329" t="s">
        <v>651</v>
      </c>
      <c r="L60" s="329"/>
      <c r="M60" s="321"/>
    </row>
    <row r="61" spans="1:29" s="8" customFormat="1" ht="21" x14ac:dyDescent="0.4">
      <c r="A61" s="595"/>
      <c r="B61" s="844"/>
      <c r="C61" s="845"/>
      <c r="D61" s="845"/>
      <c r="E61" s="324"/>
      <c r="F61" s="328"/>
      <c r="G61" s="329"/>
      <c r="H61" s="330"/>
      <c r="I61" s="329"/>
      <c r="J61" s="331"/>
      <c r="K61" s="329"/>
      <c r="L61" s="329"/>
      <c r="M61" s="321"/>
    </row>
    <row r="62" spans="1:29" s="8" customFormat="1" ht="21" customHeight="1" x14ac:dyDescent="0.4">
      <c r="A62" s="595"/>
      <c r="B62" s="932" t="s">
        <v>616</v>
      </c>
      <c r="C62" s="933"/>
      <c r="D62" s="933"/>
      <c r="E62" s="324"/>
      <c r="F62" s="328">
        <f>F26+F55+F60</f>
        <v>0</v>
      </c>
      <c r="G62" s="329" t="s">
        <v>14</v>
      </c>
      <c r="H62" s="705">
        <f>H26+H55+H60</f>
        <v>0</v>
      </c>
      <c r="I62" s="329" t="s">
        <v>6</v>
      </c>
      <c r="J62" s="328">
        <f>J26+J55+J60</f>
        <v>0</v>
      </c>
      <c r="K62" s="329" t="s">
        <v>651</v>
      </c>
      <c r="L62" s="329"/>
      <c r="M62" s="321"/>
    </row>
    <row r="63" spans="1:29" s="8" customFormat="1" ht="21" x14ac:dyDescent="0.4">
      <c r="A63" s="595"/>
      <c r="B63" s="844"/>
      <c r="C63" s="845"/>
      <c r="D63" s="845"/>
      <c r="E63" s="324"/>
      <c r="F63" s="328"/>
      <c r="G63" s="329"/>
      <c r="H63" s="330"/>
      <c r="I63" s="329"/>
      <c r="J63" s="331"/>
      <c r="K63" s="329"/>
      <c r="L63" s="329"/>
      <c r="M63" s="321"/>
    </row>
    <row r="64" spans="1:29" s="8" customFormat="1" ht="21.6" customHeight="1" thickBot="1" x14ac:dyDescent="0.45">
      <c r="A64" s="595"/>
      <c r="B64" s="936" t="s">
        <v>269</v>
      </c>
      <c r="C64" s="937"/>
      <c r="D64" s="937"/>
      <c r="E64" s="315"/>
      <c r="F64" s="355">
        <f>F11-F26-F55-F60</f>
        <v>0</v>
      </c>
      <c r="G64" s="356" t="s">
        <v>14</v>
      </c>
      <c r="H64" s="357">
        <f>H11-H26-H55-H60</f>
        <v>0</v>
      </c>
      <c r="I64" s="356" t="s">
        <v>6</v>
      </c>
      <c r="J64" s="355">
        <f>J11-J26-J55-J60</f>
        <v>0</v>
      </c>
      <c r="K64" s="356" t="s">
        <v>651</v>
      </c>
      <c r="L64" s="356"/>
      <c r="M64" s="316"/>
      <c r="AB64" s="239"/>
      <c r="AC64" s="239"/>
    </row>
    <row r="65" spans="1:29" s="8" customFormat="1" ht="21" x14ac:dyDescent="0.4">
      <c r="A65" s="595"/>
      <c r="B65" s="76"/>
      <c r="C65"/>
      <c r="D65"/>
      <c r="E65"/>
      <c r="F65"/>
      <c r="G65"/>
      <c r="H65"/>
      <c r="I65"/>
      <c r="J65"/>
      <c r="K65"/>
      <c r="L65"/>
      <c r="M65"/>
    </row>
    <row r="66" spans="1:29" s="239" customFormat="1" ht="16.2" thickBot="1" x14ac:dyDescent="0.35">
      <c r="A66" s="599"/>
      <c r="B66"/>
      <c r="C66"/>
      <c r="D66"/>
      <c r="E66"/>
      <c r="F66"/>
      <c r="G66"/>
      <c r="H66"/>
      <c r="I66"/>
      <c r="J66"/>
      <c r="K66"/>
      <c r="L66"/>
      <c r="M66"/>
      <c r="N66" s="8"/>
      <c r="O66" s="8"/>
      <c r="P66" s="8"/>
      <c r="Q66" s="8"/>
      <c r="R66" s="8"/>
      <c r="S66" s="8"/>
      <c r="T66" s="8"/>
      <c r="U66" s="8"/>
      <c r="AB66" s="8"/>
      <c r="AC66" s="8"/>
    </row>
    <row r="67" spans="1:29" s="8" customFormat="1" ht="21.6" thickBot="1" x14ac:dyDescent="0.45">
      <c r="A67" s="595"/>
      <c r="B67" s="953" t="s">
        <v>270</v>
      </c>
      <c r="C67" s="954"/>
      <c r="D67" s="954"/>
      <c r="E67" s="955"/>
      <c r="F67"/>
      <c r="G67"/>
      <c r="H67"/>
      <c r="I67"/>
      <c r="J67"/>
      <c r="K67"/>
      <c r="L67" s="956" t="s">
        <v>271</v>
      </c>
      <c r="M67" s="956"/>
      <c r="AB67"/>
      <c r="AC67"/>
    </row>
    <row r="68" spans="1:29" s="8" customFormat="1" ht="21" x14ac:dyDescent="0.4">
      <c r="A68" s="595"/>
      <c r="B68" s="401"/>
      <c r="C68" s="401"/>
      <c r="D68" s="401"/>
      <c r="E68" s="401"/>
      <c r="F68" s="534"/>
      <c r="G68" s="534"/>
      <c r="H68" s="534"/>
      <c r="I68" s="534"/>
      <c r="J68" s="534"/>
      <c r="K68" s="534"/>
      <c r="L68" s="564"/>
      <c r="M68" s="564"/>
      <c r="AB68"/>
      <c r="AC68"/>
    </row>
    <row r="69" spans="1:29" ht="15.6" x14ac:dyDescent="0.3">
      <c r="B69" s="113" t="s">
        <v>243</v>
      </c>
      <c r="C69" s="65"/>
      <c r="D69" s="65"/>
      <c r="E69" s="65"/>
      <c r="F69" s="959" t="s">
        <v>159</v>
      </c>
      <c r="G69" s="959"/>
      <c r="H69" s="959" t="s">
        <v>158</v>
      </c>
      <c r="I69" s="959"/>
      <c r="J69" s="959" t="s">
        <v>324</v>
      </c>
      <c r="K69" s="959"/>
      <c r="L69" s="143"/>
      <c r="M69" s="67"/>
    </row>
    <row r="70" spans="1:29" ht="13.8" thickBot="1" x14ac:dyDescent="0.3">
      <c r="B70" s="69"/>
      <c r="C70" s="65"/>
      <c r="D70" s="65"/>
      <c r="E70" s="65"/>
      <c r="F70" s="65"/>
      <c r="G70" s="65"/>
      <c r="H70" s="65"/>
      <c r="I70" s="65"/>
      <c r="J70" s="67"/>
      <c r="K70" s="67"/>
      <c r="L70" s="67"/>
      <c r="M70" s="67"/>
    </row>
    <row r="71" spans="1:29" ht="13.8" thickBot="1" x14ac:dyDescent="0.3">
      <c r="B71" s="69"/>
      <c r="C71" s="65" t="s">
        <v>73</v>
      </c>
      <c r="D71" s="65"/>
      <c r="E71" s="65"/>
      <c r="F71" s="96">
        <v>20</v>
      </c>
      <c r="G71" s="65" t="s">
        <v>1</v>
      </c>
      <c r="H71" s="96">
        <v>2.95</v>
      </c>
      <c r="I71" s="70" t="s">
        <v>6</v>
      </c>
      <c r="J71" s="235">
        <f>F71*H71</f>
        <v>59</v>
      </c>
      <c r="K71" s="65" t="s">
        <v>14</v>
      </c>
      <c r="L71" s="67"/>
      <c r="M71" s="67"/>
      <c r="AB71" s="8"/>
      <c r="AC71" s="8"/>
    </row>
    <row r="72" spans="1:29" ht="13.8" thickBot="1" x14ac:dyDescent="0.3">
      <c r="B72" s="65"/>
      <c r="C72" s="66" t="s">
        <v>499</v>
      </c>
      <c r="D72" s="67"/>
      <c r="E72" s="65"/>
      <c r="F72" s="96"/>
      <c r="G72" s="65" t="s">
        <v>1</v>
      </c>
      <c r="H72" s="96"/>
      <c r="I72" s="70" t="s">
        <v>6</v>
      </c>
      <c r="J72" s="235">
        <f>F72*H72</f>
        <v>0</v>
      </c>
      <c r="K72" s="65" t="s">
        <v>14</v>
      </c>
      <c r="L72" s="65"/>
      <c r="M72" s="67"/>
    </row>
    <row r="73" spans="1:29" s="8" customFormat="1" x14ac:dyDescent="0.25">
      <c r="A73" s="595"/>
      <c r="B73" s="71"/>
      <c r="C73" s="71" t="s">
        <v>196</v>
      </c>
      <c r="D73" s="572"/>
      <c r="E73" s="71"/>
      <c r="F73" s="277"/>
      <c r="G73" s="573"/>
      <c r="H73" s="574"/>
      <c r="I73" s="279"/>
      <c r="J73" s="280"/>
      <c r="K73" s="71"/>
      <c r="L73" s="71"/>
      <c r="M73" s="71"/>
    </row>
    <row r="74" spans="1:29" ht="17.399999999999999" x14ac:dyDescent="0.3">
      <c r="B74" s="535"/>
      <c r="C74" s="535"/>
      <c r="D74" s="569"/>
      <c r="E74" s="535"/>
      <c r="F74" s="570"/>
      <c r="G74" s="535"/>
      <c r="H74" s="307"/>
      <c r="I74" s="537"/>
      <c r="J74" s="571"/>
      <c r="K74" s="535"/>
      <c r="L74" s="534"/>
      <c r="M74" s="534"/>
      <c r="AB74" s="77"/>
      <c r="AC74" s="77"/>
    </row>
    <row r="75" spans="1:29" s="8" customFormat="1" ht="17.399999999999999" x14ac:dyDescent="0.3">
      <c r="A75" s="595"/>
      <c r="B75" s="120" t="s">
        <v>275</v>
      </c>
      <c r="C75" s="121"/>
      <c r="D75" s="121"/>
      <c r="E75" s="121"/>
      <c r="F75" s="960" t="s">
        <v>159</v>
      </c>
      <c r="G75" s="960"/>
      <c r="H75" s="960" t="s">
        <v>158</v>
      </c>
      <c r="I75" s="960"/>
      <c r="J75" s="960" t="s">
        <v>324</v>
      </c>
      <c r="K75" s="960"/>
      <c r="L75" s="123"/>
      <c r="M75" s="123"/>
      <c r="AB75" s="77"/>
      <c r="AC75" s="77"/>
    </row>
    <row r="76" spans="1:29" s="77" customFormat="1" ht="18" thickBot="1" x14ac:dyDescent="0.35">
      <c r="A76" s="596"/>
      <c r="B76" s="121"/>
      <c r="C76" s="121"/>
      <c r="D76" s="121"/>
      <c r="E76" s="121"/>
      <c r="F76" s="121"/>
      <c r="G76" s="121"/>
      <c r="H76" s="122"/>
      <c r="I76" s="122"/>
      <c r="J76" s="123"/>
      <c r="K76" s="123"/>
      <c r="L76" s="123"/>
      <c r="M76" s="123"/>
      <c r="N76" s="8"/>
      <c r="O76" s="8"/>
      <c r="P76" s="8"/>
      <c r="Q76" s="8"/>
      <c r="R76" s="8"/>
      <c r="S76" s="8"/>
      <c r="T76" s="8"/>
      <c r="U76" s="8"/>
      <c r="AB76"/>
      <c r="AC76"/>
    </row>
    <row r="77" spans="1:29" s="77" customFormat="1" ht="18" thickBot="1" x14ac:dyDescent="0.35">
      <c r="A77" s="596"/>
      <c r="B77" s="121"/>
      <c r="C77" s="121" t="s">
        <v>280</v>
      </c>
      <c r="D77" s="121"/>
      <c r="E77" s="121"/>
      <c r="F77" s="96"/>
      <c r="G77" s="121" t="s">
        <v>21</v>
      </c>
      <c r="H77" s="99"/>
      <c r="I77" s="122" t="s">
        <v>6</v>
      </c>
      <c r="J77" s="124">
        <f t="shared" ref="J77:J78" si="6">F77*H77</f>
        <v>0</v>
      </c>
      <c r="K77" s="121" t="s">
        <v>14</v>
      </c>
      <c r="L77" s="123"/>
      <c r="M77" s="123"/>
      <c r="AB77" s="91"/>
      <c r="AC77" s="91"/>
    </row>
    <row r="78" spans="1:29" ht="15.6" thickBot="1" x14ac:dyDescent="0.3">
      <c r="B78" s="121"/>
      <c r="C78" s="121" t="s">
        <v>280</v>
      </c>
      <c r="D78" s="121"/>
      <c r="E78" s="121"/>
      <c r="F78" s="96"/>
      <c r="G78" s="121" t="s">
        <v>21</v>
      </c>
      <c r="H78" s="99"/>
      <c r="I78" s="122" t="s">
        <v>6</v>
      </c>
      <c r="J78" s="124">
        <f t="shared" si="6"/>
        <v>0</v>
      </c>
      <c r="K78" s="121" t="s">
        <v>14</v>
      </c>
      <c r="L78" s="123"/>
      <c r="M78" s="123"/>
      <c r="N78" s="91"/>
      <c r="O78" s="91"/>
      <c r="P78" s="91"/>
      <c r="Q78" s="91"/>
      <c r="R78" s="91"/>
      <c r="S78" s="91"/>
      <c r="T78" s="91"/>
      <c r="U78" s="91"/>
      <c r="AB78" s="8"/>
      <c r="AC78" s="8"/>
    </row>
    <row r="79" spans="1:29" s="91" customFormat="1" ht="17.399999999999999" x14ac:dyDescent="0.3">
      <c r="A79" s="597"/>
      <c r="B79" s="270"/>
      <c r="C79" s="270" t="s">
        <v>196</v>
      </c>
      <c r="D79" s="270"/>
      <c r="E79" s="270"/>
      <c r="F79" s="270"/>
      <c r="G79" s="270"/>
      <c r="H79" s="270"/>
      <c r="I79" s="271"/>
      <c r="J79" s="272">
        <f>SUM(J77:J78)</f>
        <v>0</v>
      </c>
      <c r="K79" s="270" t="s">
        <v>14</v>
      </c>
      <c r="L79" s="270"/>
      <c r="M79" s="270"/>
      <c r="N79" s="77"/>
      <c r="O79" s="77"/>
      <c r="P79" s="77"/>
      <c r="Q79" s="77"/>
      <c r="R79" s="77"/>
      <c r="S79" s="77"/>
      <c r="T79" s="77"/>
      <c r="U79" s="77"/>
      <c r="AB79" s="8"/>
      <c r="AC79" s="8"/>
    </row>
    <row r="80" spans="1:29" s="8" customFormat="1" x14ac:dyDescent="0.25">
      <c r="A80" s="595"/>
      <c r="B80" s="121"/>
      <c r="C80" s="121"/>
      <c r="D80" s="121"/>
      <c r="E80" s="121"/>
      <c r="F80" s="121"/>
      <c r="G80" s="121"/>
      <c r="H80" s="121"/>
      <c r="I80" s="122"/>
      <c r="J80" s="124"/>
      <c r="K80" s="121"/>
      <c r="L80" s="123"/>
      <c r="M80" s="123"/>
      <c r="N80"/>
      <c r="O80"/>
      <c r="P80"/>
      <c r="Q80"/>
      <c r="R80"/>
      <c r="S80"/>
      <c r="T80"/>
      <c r="U80"/>
    </row>
    <row r="81" spans="1:29" s="8" customFormat="1" ht="15" x14ac:dyDescent="0.25">
      <c r="A81" s="595"/>
      <c r="B81"/>
      <c r="C81"/>
      <c r="D81"/>
      <c r="E81"/>
      <c r="F81"/>
      <c r="G81"/>
      <c r="H81"/>
      <c r="I81"/>
      <c r="J81"/>
      <c r="K81"/>
      <c r="L81"/>
      <c r="M81"/>
      <c r="N81" s="91"/>
      <c r="O81" s="91"/>
      <c r="P81" s="91"/>
      <c r="Q81" s="91"/>
      <c r="R81" s="91"/>
      <c r="S81" s="91"/>
      <c r="T81" s="91"/>
      <c r="U81" s="91"/>
      <c r="AB81"/>
      <c r="AC81"/>
    </row>
    <row r="82" spans="1:29" s="8" customFormat="1" ht="15.6" x14ac:dyDescent="0.3">
      <c r="A82" s="595"/>
      <c r="B82" s="109" t="s">
        <v>639</v>
      </c>
      <c r="C82" s="72"/>
      <c r="D82" s="72"/>
      <c r="E82" s="72"/>
      <c r="F82" s="957" t="s">
        <v>159</v>
      </c>
      <c r="G82" s="957"/>
      <c r="H82" s="958" t="s">
        <v>158</v>
      </c>
      <c r="I82" s="958"/>
      <c r="J82" s="957" t="s">
        <v>324</v>
      </c>
      <c r="K82" s="957"/>
      <c r="L82" s="79"/>
      <c r="M82" s="79"/>
      <c r="AB82"/>
      <c r="AC82"/>
    </row>
    <row r="83" spans="1:29" x14ac:dyDescent="0.25">
      <c r="B83" s="72"/>
      <c r="C83" s="72"/>
      <c r="D83" s="72"/>
      <c r="E83" s="72"/>
      <c r="F83" s="74"/>
      <c r="G83" s="74"/>
      <c r="H83" s="73"/>
      <c r="I83" s="73"/>
      <c r="J83" s="73"/>
      <c r="K83" s="79"/>
      <c r="L83" s="79"/>
      <c r="M83" s="79"/>
      <c r="N83" s="8"/>
      <c r="O83" s="8"/>
      <c r="P83" s="8"/>
      <c r="Q83" s="8"/>
      <c r="R83" s="8"/>
      <c r="S83" s="8"/>
      <c r="T83" s="8"/>
      <c r="U83" s="8"/>
    </row>
    <row r="84" spans="1:29" ht="15.6" x14ac:dyDescent="0.3">
      <c r="B84" s="109"/>
      <c r="C84" s="72"/>
      <c r="D84" s="462" t="s">
        <v>364</v>
      </c>
      <c r="E84" s="72"/>
      <c r="F84" s="128"/>
      <c r="G84" s="128"/>
      <c r="H84" s="127"/>
      <c r="I84" s="127"/>
      <c r="J84" s="128"/>
      <c r="K84" s="128"/>
      <c r="L84" s="79"/>
      <c r="M84" s="79"/>
    </row>
    <row r="85" spans="1:29" ht="13.8" thickBot="1" x14ac:dyDescent="0.3">
      <c r="B85" s="214" t="s">
        <v>357</v>
      </c>
      <c r="C85" s="72"/>
      <c r="D85" s="72"/>
      <c r="E85" s="72"/>
      <c r="F85" s="74"/>
      <c r="G85" s="74"/>
      <c r="H85" s="73"/>
      <c r="I85" s="73"/>
      <c r="J85" s="79"/>
      <c r="K85" s="79"/>
      <c r="L85" s="79"/>
      <c r="M85" s="79"/>
    </row>
    <row r="86" spans="1:29" ht="13.8" thickBot="1" x14ac:dyDescent="0.3">
      <c r="B86" s="72"/>
      <c r="C86" s="72" t="s">
        <v>326</v>
      </c>
      <c r="D86" s="79"/>
      <c r="E86" s="72"/>
      <c r="F86" s="119"/>
      <c r="G86" s="74" t="s">
        <v>20</v>
      </c>
      <c r="H86" s="99"/>
      <c r="I86" s="73" t="s">
        <v>5</v>
      </c>
      <c r="J86" s="79">
        <f t="shared" ref="J86:J88" si="7">F86*H86</f>
        <v>0</v>
      </c>
      <c r="K86" s="72" t="s">
        <v>14</v>
      </c>
      <c r="L86" s="79"/>
      <c r="M86" s="79"/>
    </row>
    <row r="87" spans="1:29" ht="13.8" thickBot="1" x14ac:dyDescent="0.3">
      <c r="B87" s="72"/>
      <c r="C87" s="72" t="s">
        <v>326</v>
      </c>
      <c r="D87" s="72"/>
      <c r="E87" s="72"/>
      <c r="F87" s="119"/>
      <c r="G87" s="74" t="s">
        <v>20</v>
      </c>
      <c r="H87" s="99"/>
      <c r="I87" s="73" t="s">
        <v>5</v>
      </c>
      <c r="J87" s="79">
        <f t="shared" si="7"/>
        <v>0</v>
      </c>
      <c r="K87" s="72" t="s">
        <v>14</v>
      </c>
      <c r="L87" s="79"/>
      <c r="M87" s="79"/>
    </row>
    <row r="88" spans="1:29" ht="13.8" thickBot="1" x14ac:dyDescent="0.3">
      <c r="B88" s="72"/>
      <c r="C88" s="72" t="s">
        <v>326</v>
      </c>
      <c r="D88" s="72"/>
      <c r="E88" s="72"/>
      <c r="F88" s="119"/>
      <c r="G88" s="74" t="s">
        <v>20</v>
      </c>
      <c r="H88" s="99"/>
      <c r="I88" s="73" t="s">
        <v>5</v>
      </c>
      <c r="J88" s="79">
        <f t="shared" si="7"/>
        <v>0</v>
      </c>
      <c r="K88" s="72" t="s">
        <v>14</v>
      </c>
      <c r="L88" s="79"/>
      <c r="M88" s="79"/>
    </row>
    <row r="89" spans="1:29" x14ac:dyDescent="0.25">
      <c r="B89" s="72"/>
      <c r="C89" s="72"/>
      <c r="D89" s="72"/>
      <c r="E89" s="72"/>
      <c r="F89" s="212"/>
      <c r="G89" s="74"/>
      <c r="H89" s="213"/>
      <c r="I89" s="73"/>
      <c r="J89" s="79"/>
      <c r="K89" s="72"/>
      <c r="L89" s="79"/>
      <c r="M89" s="79"/>
    </row>
    <row r="90" spans="1:29" ht="13.8" thickBot="1" x14ac:dyDescent="0.3">
      <c r="B90" s="214" t="s">
        <v>358</v>
      </c>
      <c r="C90" s="72"/>
      <c r="D90" s="72"/>
      <c r="E90" s="72"/>
      <c r="F90" s="212"/>
      <c r="G90" s="74"/>
      <c r="H90" s="213"/>
      <c r="I90" s="73"/>
      <c r="J90" s="79"/>
      <c r="K90" s="72"/>
      <c r="L90" s="79"/>
      <c r="M90" s="79"/>
    </row>
    <row r="91" spans="1:29" ht="13.8" thickBot="1" x14ac:dyDescent="0.3">
      <c r="B91" s="72"/>
      <c r="C91" s="72" t="s">
        <v>326</v>
      </c>
      <c r="D91" s="72"/>
      <c r="E91" s="72"/>
      <c r="F91" s="119"/>
      <c r="G91" s="74" t="s">
        <v>20</v>
      </c>
      <c r="H91" s="119"/>
      <c r="I91" s="73" t="s">
        <v>5</v>
      </c>
      <c r="J91" s="79">
        <f t="shared" ref="J91:J93" si="8">F91*H91</f>
        <v>0</v>
      </c>
      <c r="K91" s="72" t="s">
        <v>14</v>
      </c>
      <c r="L91" s="79"/>
      <c r="M91" s="79"/>
    </row>
    <row r="92" spans="1:29" ht="13.8" thickBot="1" x14ac:dyDescent="0.3">
      <c r="B92" s="72"/>
      <c r="C92" s="72" t="s">
        <v>326</v>
      </c>
      <c r="D92" s="72"/>
      <c r="E92" s="72"/>
      <c r="F92" s="119"/>
      <c r="G92" s="74" t="s">
        <v>20</v>
      </c>
      <c r="H92" s="119"/>
      <c r="I92" s="73" t="s">
        <v>5</v>
      </c>
      <c r="J92" s="79">
        <f t="shared" si="8"/>
        <v>0</v>
      </c>
      <c r="K92" s="72" t="s">
        <v>14</v>
      </c>
      <c r="L92" s="79"/>
      <c r="M92" s="79"/>
      <c r="AB92" s="8"/>
      <c r="AC92" s="8"/>
    </row>
    <row r="93" spans="1:29" ht="13.8" thickBot="1" x14ac:dyDescent="0.3">
      <c r="B93" s="72"/>
      <c r="C93" s="72" t="s">
        <v>326</v>
      </c>
      <c r="D93" s="72"/>
      <c r="E93" s="72"/>
      <c r="F93" s="119"/>
      <c r="G93" s="74" t="s">
        <v>20</v>
      </c>
      <c r="H93" s="119"/>
      <c r="I93" s="73" t="s">
        <v>5</v>
      </c>
      <c r="J93" s="79">
        <f t="shared" si="8"/>
        <v>0</v>
      </c>
      <c r="K93" s="72" t="s">
        <v>14</v>
      </c>
      <c r="L93" s="79"/>
      <c r="M93" s="79"/>
    </row>
    <row r="94" spans="1:29" s="8" customFormat="1" x14ac:dyDescent="0.25">
      <c r="A94" s="595"/>
      <c r="B94" s="241"/>
      <c r="C94" s="241" t="s">
        <v>196</v>
      </c>
      <c r="D94" s="241"/>
      <c r="E94" s="241"/>
      <c r="F94" s="273"/>
      <c r="G94" s="242"/>
      <c r="H94" s="273"/>
      <c r="I94" s="243"/>
      <c r="J94" s="243">
        <f>SUM(J86:J93)</f>
        <v>0</v>
      </c>
      <c r="K94" s="241" t="s">
        <v>14</v>
      </c>
      <c r="L94" s="241"/>
      <c r="M94" s="241"/>
      <c r="AB94"/>
      <c r="AC94"/>
    </row>
    <row r="95" spans="1:29" x14ac:dyDescent="0.25">
      <c r="B95" s="72"/>
      <c r="C95" s="72"/>
      <c r="D95" s="72"/>
      <c r="E95" s="72"/>
      <c r="F95" s="74"/>
      <c r="G95" s="74"/>
      <c r="H95" s="73"/>
      <c r="I95" s="73"/>
      <c r="J95" s="79"/>
      <c r="K95" s="72"/>
      <c r="L95" s="79"/>
      <c r="M95" s="79"/>
    </row>
    <row r="96" spans="1:29" x14ac:dyDescent="0.25">
      <c r="A96" s="600"/>
      <c r="N96" s="5"/>
      <c r="O96" s="5"/>
    </row>
    <row r="97" spans="1:29" ht="15.6" x14ac:dyDescent="0.3">
      <c r="A97" s="600"/>
      <c r="B97" s="219" t="s">
        <v>293</v>
      </c>
      <c r="C97" s="220"/>
      <c r="D97" s="220"/>
      <c r="E97" s="220"/>
      <c r="F97" s="964" t="s">
        <v>159</v>
      </c>
      <c r="G97" s="964"/>
      <c r="H97" s="964" t="s">
        <v>158</v>
      </c>
      <c r="I97" s="964"/>
      <c r="J97" s="964" t="s">
        <v>324</v>
      </c>
      <c r="K97" s="964"/>
      <c r="L97" s="222"/>
      <c r="M97" s="222"/>
      <c r="N97" s="5"/>
    </row>
    <row r="98" spans="1:29" ht="13.8" thickBot="1" x14ac:dyDescent="0.3">
      <c r="A98" s="600"/>
      <c r="B98" s="220"/>
      <c r="C98" s="220"/>
      <c r="D98" s="220"/>
      <c r="E98" s="220"/>
      <c r="F98" s="220"/>
      <c r="G98" s="220"/>
      <c r="H98" s="221"/>
      <c r="I98" s="221"/>
      <c r="J98" s="222"/>
      <c r="K98" s="222"/>
      <c r="L98" s="222"/>
      <c r="M98" s="222"/>
      <c r="N98" s="5"/>
    </row>
    <row r="99" spans="1:29" ht="13.8" thickBot="1" x14ac:dyDescent="0.3">
      <c r="A99" s="600"/>
      <c r="B99" s="220"/>
      <c r="C99" s="220" t="s">
        <v>632</v>
      </c>
      <c r="D99" s="222"/>
      <c r="E99" s="220"/>
      <c r="F99" s="96"/>
      <c r="G99" s="220" t="s">
        <v>0</v>
      </c>
      <c r="H99" s="99"/>
      <c r="I99" s="221" t="s">
        <v>14</v>
      </c>
      <c r="J99" s="223">
        <f t="shared" ref="J99:J101" si="9">F99*H99</f>
        <v>0</v>
      </c>
      <c r="K99" s="220" t="s">
        <v>14</v>
      </c>
      <c r="L99" s="222"/>
      <c r="M99" s="222"/>
      <c r="N99" s="5"/>
    </row>
    <row r="100" spans="1:29" ht="13.8" thickBot="1" x14ac:dyDescent="0.3">
      <c r="B100" s="220"/>
      <c r="C100" s="220" t="s">
        <v>633</v>
      </c>
      <c r="D100" s="220"/>
      <c r="E100" s="220"/>
      <c r="F100" s="96"/>
      <c r="G100" s="220" t="s">
        <v>0</v>
      </c>
      <c r="H100" s="99"/>
      <c r="I100" s="221" t="s">
        <v>14</v>
      </c>
      <c r="J100" s="223">
        <f t="shared" si="9"/>
        <v>0</v>
      </c>
      <c r="K100" s="220" t="s">
        <v>14</v>
      </c>
      <c r="L100" s="222"/>
      <c r="M100" s="222"/>
      <c r="AB100" s="8"/>
      <c r="AC100" s="8"/>
    </row>
    <row r="101" spans="1:29" ht="13.8" thickBot="1" x14ac:dyDescent="0.3">
      <c r="B101" s="220"/>
      <c r="C101" s="220" t="s">
        <v>294</v>
      </c>
      <c r="D101" s="220"/>
      <c r="E101" s="220"/>
      <c r="F101" s="96"/>
      <c r="G101" s="220" t="s">
        <v>0</v>
      </c>
      <c r="H101" s="99"/>
      <c r="I101" s="221" t="s">
        <v>14</v>
      </c>
      <c r="J101" s="223">
        <f t="shared" si="9"/>
        <v>0</v>
      </c>
      <c r="K101" s="220" t="s">
        <v>14</v>
      </c>
      <c r="L101" s="222"/>
      <c r="M101" s="222"/>
    </row>
    <row r="102" spans="1:29" s="8" customFormat="1" x14ac:dyDescent="0.25">
      <c r="A102" s="595"/>
      <c r="B102" s="220"/>
      <c r="C102" s="220" t="s">
        <v>294</v>
      </c>
      <c r="D102" s="255"/>
      <c r="E102" s="255"/>
      <c r="F102" s="256"/>
      <c r="G102" s="255"/>
      <c r="H102" s="257"/>
      <c r="I102" s="258"/>
      <c r="J102" s="259">
        <f>SUM(J99:J101)</f>
        <v>0</v>
      </c>
      <c r="K102" s="255" t="s">
        <v>14</v>
      </c>
      <c r="L102" s="255"/>
      <c r="M102" s="255"/>
      <c r="N102"/>
      <c r="O102"/>
      <c r="P102"/>
      <c r="Q102"/>
      <c r="R102"/>
      <c r="S102"/>
      <c r="T102"/>
      <c r="U102"/>
      <c r="AB102"/>
      <c r="AC102"/>
    </row>
    <row r="103" spans="1:29" x14ac:dyDescent="0.25">
      <c r="B103" s="255"/>
      <c r="C103" s="255" t="s">
        <v>196</v>
      </c>
      <c r="D103" s="220"/>
      <c r="E103" s="220"/>
      <c r="F103" s="220"/>
      <c r="G103" s="220"/>
      <c r="H103" s="221"/>
      <c r="I103" s="221"/>
      <c r="J103" s="223"/>
      <c r="K103" s="220"/>
      <c r="L103" s="222"/>
      <c r="M103" s="222"/>
    </row>
    <row r="104" spans="1:29" ht="30" customHeight="1" x14ac:dyDescent="0.25">
      <c r="B104" s="220"/>
      <c r="C104" s="220"/>
      <c r="N104" s="8"/>
      <c r="O104" s="8"/>
      <c r="P104" s="8"/>
      <c r="Q104" s="8"/>
      <c r="R104" s="8"/>
      <c r="S104" s="8"/>
      <c r="T104" s="8"/>
      <c r="U104" s="8"/>
    </row>
    <row r="105" spans="1:29" x14ac:dyDescent="0.25">
      <c r="D105" s="226"/>
      <c r="E105" s="227"/>
      <c r="F105" s="226" t="s">
        <v>159</v>
      </c>
      <c r="G105" s="228"/>
      <c r="H105" s="228" t="s">
        <v>158</v>
      </c>
      <c r="I105" s="226"/>
      <c r="J105" s="226" t="s">
        <v>324</v>
      </c>
      <c r="K105" s="229"/>
      <c r="L105" s="229"/>
      <c r="M105" s="229"/>
    </row>
    <row r="106" spans="1:29" ht="16.2" thickBot="1" x14ac:dyDescent="0.35">
      <c r="B106" s="225" t="s">
        <v>637</v>
      </c>
      <c r="C106" s="226"/>
      <c r="D106" s="226"/>
      <c r="E106" s="227"/>
      <c r="F106" s="226"/>
      <c r="G106" s="228"/>
      <c r="H106" s="228"/>
      <c r="I106" s="226"/>
      <c r="J106" s="226"/>
      <c r="K106" s="229"/>
      <c r="L106" s="229"/>
      <c r="M106" s="229"/>
    </row>
    <row r="107" spans="1:29" ht="16.2" thickBot="1" x14ac:dyDescent="0.35">
      <c r="B107" s="225"/>
      <c r="C107" s="226"/>
      <c r="D107" s="229"/>
      <c r="E107" s="230"/>
      <c r="F107" s="96"/>
      <c r="G107" s="231" t="s">
        <v>18</v>
      </c>
      <c r="H107" s="96"/>
      <c r="I107" s="232" t="s">
        <v>10</v>
      </c>
      <c r="J107" s="229">
        <f>H107*F107</f>
        <v>0</v>
      </c>
      <c r="K107" s="232" t="s">
        <v>14</v>
      </c>
      <c r="L107" s="229"/>
      <c r="M107" s="229"/>
    </row>
    <row r="108" spans="1:29" ht="13.8" thickBot="1" x14ac:dyDescent="0.3">
      <c r="B108" s="226"/>
      <c r="C108" s="226" t="s">
        <v>296</v>
      </c>
      <c r="D108" s="232">
        <f>F130/2</f>
        <v>4.5</v>
      </c>
      <c r="E108" s="226" t="s">
        <v>9</v>
      </c>
      <c r="F108" s="96">
        <f>+D108*8</f>
        <v>36</v>
      </c>
      <c r="G108" s="228" t="s">
        <v>20</v>
      </c>
      <c r="H108" s="96">
        <v>0.83</v>
      </c>
      <c r="I108" s="232" t="s">
        <v>5</v>
      </c>
      <c r="J108" s="229">
        <f>H108*F108</f>
        <v>29.88</v>
      </c>
      <c r="K108" s="232" t="s">
        <v>14</v>
      </c>
      <c r="L108" s="229"/>
      <c r="M108" s="229"/>
    </row>
    <row r="109" spans="1:29" ht="13.8" thickBot="1" x14ac:dyDescent="0.3">
      <c r="B109" s="226"/>
      <c r="C109" s="226" t="s">
        <v>450</v>
      </c>
      <c r="D109" s="232">
        <f>D108</f>
        <v>4.5</v>
      </c>
      <c r="E109" s="226" t="s">
        <v>9</v>
      </c>
      <c r="F109" s="96">
        <v>11.88</v>
      </c>
      <c r="G109" s="228" t="s">
        <v>21</v>
      </c>
      <c r="H109" s="96">
        <v>4</v>
      </c>
      <c r="I109" s="232" t="s">
        <v>6</v>
      </c>
      <c r="J109" s="229">
        <f t="shared" ref="J109:J113" si="10">H109*F109</f>
        <v>47.52</v>
      </c>
      <c r="K109" s="232" t="s">
        <v>14</v>
      </c>
      <c r="L109" s="229"/>
      <c r="M109" s="229"/>
    </row>
    <row r="110" spans="1:29" ht="13.8" thickBot="1" x14ac:dyDescent="0.3">
      <c r="B110" s="226"/>
      <c r="C110" s="226" t="s">
        <v>298</v>
      </c>
      <c r="D110" s="229"/>
      <c r="E110" s="232"/>
      <c r="F110" s="96"/>
      <c r="G110" s="228" t="s">
        <v>20</v>
      </c>
      <c r="H110" s="96"/>
      <c r="I110" s="232" t="s">
        <v>5</v>
      </c>
      <c r="J110" s="229">
        <f t="shared" si="10"/>
        <v>0</v>
      </c>
      <c r="K110" s="232" t="s">
        <v>14</v>
      </c>
      <c r="L110" s="229"/>
      <c r="M110" s="229"/>
    </row>
    <row r="111" spans="1:29" ht="13.8" thickBot="1" x14ac:dyDescent="0.3">
      <c r="B111" s="226"/>
      <c r="C111" s="226" t="s">
        <v>19</v>
      </c>
      <c r="D111" s="229"/>
      <c r="E111" s="232"/>
      <c r="F111" s="96"/>
      <c r="G111" s="228" t="s">
        <v>20</v>
      </c>
      <c r="H111" s="96"/>
      <c r="I111" s="232" t="s">
        <v>5</v>
      </c>
      <c r="J111" s="229">
        <f t="shared" si="10"/>
        <v>0</v>
      </c>
      <c r="K111" s="232" t="s">
        <v>14</v>
      </c>
      <c r="L111" s="229"/>
      <c r="M111" s="229"/>
    </row>
    <row r="112" spans="1:29" ht="13.8" thickBot="1" x14ac:dyDescent="0.3">
      <c r="B112" s="226"/>
      <c r="C112" s="226" t="s">
        <v>300</v>
      </c>
      <c r="D112" s="229"/>
      <c r="E112" s="232"/>
      <c r="F112" s="96"/>
      <c r="G112" s="228"/>
      <c r="H112" s="96"/>
      <c r="I112" s="232"/>
      <c r="J112" s="229">
        <f t="shared" si="10"/>
        <v>0</v>
      </c>
      <c r="K112" s="232" t="s">
        <v>14</v>
      </c>
      <c r="L112" s="229"/>
      <c r="M112" s="229"/>
      <c r="AB112" s="8"/>
      <c r="AC112" s="8"/>
    </row>
    <row r="113" spans="1:29" ht="13.8" thickBot="1" x14ac:dyDescent="0.3">
      <c r="B113" s="226"/>
      <c r="C113" s="226" t="s">
        <v>300</v>
      </c>
      <c r="D113" s="229"/>
      <c r="E113" s="229"/>
      <c r="F113" s="96"/>
      <c r="G113" s="229"/>
      <c r="H113" s="96"/>
      <c r="I113" s="229"/>
      <c r="J113" s="229">
        <f t="shared" si="10"/>
        <v>0</v>
      </c>
      <c r="K113" s="232" t="s">
        <v>14</v>
      </c>
      <c r="L113" s="229"/>
      <c r="M113" s="229"/>
    </row>
    <row r="114" spans="1:29" s="8" customFormat="1" x14ac:dyDescent="0.25">
      <c r="A114" s="595"/>
      <c r="B114" s="229"/>
      <c r="C114" s="226" t="s">
        <v>300</v>
      </c>
      <c r="D114" s="260"/>
      <c r="E114" s="260"/>
      <c r="F114" s="261"/>
      <c r="G114" s="260"/>
      <c r="H114" s="261"/>
      <c r="I114" s="260"/>
      <c r="J114" s="260">
        <f>SUM(J107:J113)</f>
        <v>77.400000000000006</v>
      </c>
      <c r="K114" s="262" t="s">
        <v>14</v>
      </c>
      <c r="L114" s="260"/>
      <c r="M114" s="260"/>
      <c r="AB114"/>
      <c r="AC114"/>
    </row>
    <row r="115" spans="1:29" x14ac:dyDescent="0.25">
      <c r="B115" s="260"/>
      <c r="C115" s="260" t="s">
        <v>196</v>
      </c>
      <c r="D115" s="229"/>
      <c r="E115" s="229"/>
      <c r="F115" s="229"/>
      <c r="G115" s="229"/>
      <c r="H115" s="229"/>
      <c r="I115" s="229"/>
      <c r="J115" s="229"/>
      <c r="K115" s="229"/>
      <c r="L115" s="229"/>
      <c r="M115" s="229"/>
    </row>
    <row r="117" spans="1:29" ht="15.6" x14ac:dyDescent="0.3">
      <c r="B117" s="112" t="s">
        <v>634</v>
      </c>
      <c r="C117" s="101"/>
      <c r="D117" s="101"/>
      <c r="E117" s="101"/>
      <c r="F117" s="101"/>
      <c r="G117" s="101"/>
      <c r="H117" s="101"/>
      <c r="I117" s="101"/>
      <c r="J117" s="101"/>
      <c r="K117" s="101"/>
      <c r="L117" s="101"/>
      <c r="M117" s="101"/>
    </row>
    <row r="118" spans="1:29" ht="15.6" x14ac:dyDescent="0.3">
      <c r="B118" s="112"/>
      <c r="C118" s="101"/>
      <c r="D118" s="101"/>
      <c r="E118" s="101"/>
      <c r="F118" s="101"/>
      <c r="G118" s="101"/>
      <c r="H118" s="101"/>
      <c r="I118" s="101"/>
      <c r="J118" s="101"/>
      <c r="K118" s="101"/>
      <c r="L118" s="101"/>
      <c r="M118" s="101"/>
      <c r="AB118" s="8"/>
      <c r="AC118" s="8"/>
    </row>
    <row r="119" spans="1:29" ht="15" customHeight="1" x14ac:dyDescent="0.25">
      <c r="B119" s="961" t="s">
        <v>302</v>
      </c>
      <c r="C119" s="961"/>
      <c r="D119" s="961"/>
      <c r="E119" s="961"/>
      <c r="F119" s="961"/>
      <c r="G119" s="961"/>
      <c r="H119" s="961"/>
      <c r="I119" s="961"/>
      <c r="J119" s="961"/>
      <c r="K119" s="961"/>
      <c r="L119" s="961"/>
      <c r="M119" s="961"/>
    </row>
    <row r="120" spans="1:29" s="8" customFormat="1" ht="15.6" x14ac:dyDescent="0.3">
      <c r="A120" s="595"/>
      <c r="B120" s="112"/>
      <c r="C120" s="101"/>
      <c r="D120" s="101"/>
      <c r="E120" s="848"/>
      <c r="F120" s="848"/>
      <c r="G120" s="848"/>
      <c r="H120" s="849"/>
      <c r="I120" s="849"/>
      <c r="J120" s="848"/>
      <c r="K120" s="848"/>
      <c r="L120" s="849"/>
      <c r="M120" s="849"/>
      <c r="N120"/>
      <c r="O120"/>
      <c r="P120"/>
      <c r="Q120"/>
      <c r="R120"/>
      <c r="S120"/>
      <c r="T120"/>
      <c r="U120"/>
      <c r="AB120"/>
      <c r="AC120"/>
    </row>
    <row r="121" spans="1:29" ht="15.6" x14ac:dyDescent="0.3">
      <c r="B121" s="112"/>
      <c r="C121" s="101"/>
      <c r="D121" s="101"/>
      <c r="E121" s="962" t="s">
        <v>303</v>
      </c>
      <c r="F121" s="962"/>
      <c r="G121" s="962"/>
      <c r="H121" s="963" t="s">
        <v>158</v>
      </c>
      <c r="I121" s="963"/>
      <c r="J121" s="963" t="s">
        <v>304</v>
      </c>
      <c r="K121" s="963"/>
      <c r="L121" s="963" t="s">
        <v>158</v>
      </c>
      <c r="M121" s="963"/>
    </row>
    <row r="122" spans="1:29" ht="33" customHeight="1" thickBot="1" x14ac:dyDescent="0.3">
      <c r="B122" s="100"/>
      <c r="C122" s="101"/>
      <c r="D122" s="101"/>
      <c r="E122" s="101"/>
      <c r="F122" s="101"/>
      <c r="G122" s="101"/>
      <c r="H122" s="101"/>
      <c r="I122" s="101"/>
      <c r="J122" s="101"/>
      <c r="K122" s="101"/>
      <c r="L122" s="101"/>
      <c r="M122" s="101"/>
      <c r="N122" s="8"/>
      <c r="O122" s="8"/>
      <c r="P122" s="8"/>
      <c r="Q122" s="8"/>
      <c r="R122" s="8"/>
      <c r="S122" s="8"/>
      <c r="T122" s="8"/>
      <c r="U122" s="8"/>
    </row>
    <row r="123" spans="1:29" ht="13.8" thickBot="1" x14ac:dyDescent="0.3">
      <c r="B123" s="101"/>
      <c r="C123" s="102" t="s">
        <v>307</v>
      </c>
      <c r="D123" s="101"/>
      <c r="E123" s="101"/>
      <c r="F123" s="115">
        <v>2</v>
      </c>
      <c r="G123" s="104" t="s">
        <v>22</v>
      </c>
      <c r="H123" s="117">
        <v>14.5</v>
      </c>
      <c r="I123" s="104" t="s">
        <v>11</v>
      </c>
      <c r="J123" s="116"/>
      <c r="K123" s="104" t="s">
        <v>22</v>
      </c>
      <c r="L123" s="117">
        <v>14.5</v>
      </c>
      <c r="M123" s="104" t="s">
        <v>11</v>
      </c>
    </row>
    <row r="124" spans="1:29" ht="13.8" thickBot="1" x14ac:dyDescent="0.3">
      <c r="B124" s="101"/>
      <c r="C124" s="102" t="s">
        <v>635</v>
      </c>
      <c r="D124" s="101"/>
      <c r="E124" s="101"/>
      <c r="F124" s="115">
        <v>3</v>
      </c>
      <c r="G124" s="104" t="s">
        <v>22</v>
      </c>
      <c r="H124" s="114">
        <f t="shared" ref="H124:H129" si="11">$H$123</f>
        <v>14.5</v>
      </c>
      <c r="I124" s="104" t="s">
        <v>11</v>
      </c>
      <c r="J124" s="116"/>
      <c r="K124" s="104" t="s">
        <v>22</v>
      </c>
      <c r="L124" s="114">
        <f t="shared" ref="L124:L129" si="12">$L$123</f>
        <v>14.5</v>
      </c>
      <c r="M124" s="104" t="s">
        <v>11</v>
      </c>
    </row>
    <row r="125" spans="1:29" ht="13.8" thickBot="1" x14ac:dyDescent="0.3">
      <c r="B125" s="101"/>
      <c r="C125" s="102" t="s">
        <v>311</v>
      </c>
      <c r="D125" s="101"/>
      <c r="E125" s="101"/>
      <c r="F125" s="115">
        <v>2</v>
      </c>
      <c r="G125" s="104" t="s">
        <v>22</v>
      </c>
      <c r="H125" s="114">
        <f t="shared" si="11"/>
        <v>14.5</v>
      </c>
      <c r="I125" s="104" t="s">
        <v>11</v>
      </c>
      <c r="J125" s="116"/>
      <c r="K125" s="104" t="s">
        <v>22</v>
      </c>
      <c r="L125" s="114">
        <f t="shared" si="12"/>
        <v>14.5</v>
      </c>
      <c r="M125" s="104" t="s">
        <v>11</v>
      </c>
    </row>
    <row r="126" spans="1:29" ht="13.8" thickBot="1" x14ac:dyDescent="0.3">
      <c r="B126" s="101"/>
      <c r="C126" s="102" t="s">
        <v>638</v>
      </c>
      <c r="D126" s="101"/>
      <c r="E126" s="101"/>
      <c r="F126" s="115">
        <v>2</v>
      </c>
      <c r="G126" s="104" t="s">
        <v>22</v>
      </c>
      <c r="H126" s="114">
        <f t="shared" si="11"/>
        <v>14.5</v>
      </c>
      <c r="I126" s="104" t="s">
        <v>11</v>
      </c>
      <c r="J126" s="116"/>
      <c r="K126" s="104" t="s">
        <v>22</v>
      </c>
      <c r="L126" s="114">
        <f t="shared" si="12"/>
        <v>14.5</v>
      </c>
      <c r="M126" s="104" t="s">
        <v>11</v>
      </c>
    </row>
    <row r="127" spans="1:29" ht="13.8" thickBot="1" x14ac:dyDescent="0.3">
      <c r="B127" s="101"/>
      <c r="C127" s="102" t="s">
        <v>431</v>
      </c>
      <c r="D127" s="101"/>
      <c r="E127" s="101"/>
      <c r="F127" s="116"/>
      <c r="G127" s="104" t="s">
        <v>22</v>
      </c>
      <c r="H127" s="114">
        <f t="shared" si="11"/>
        <v>14.5</v>
      </c>
      <c r="I127" s="104" t="s">
        <v>11</v>
      </c>
      <c r="J127" s="97"/>
      <c r="K127" s="104" t="s">
        <v>22</v>
      </c>
      <c r="L127" s="114">
        <f t="shared" si="12"/>
        <v>14.5</v>
      </c>
      <c r="M127" s="104" t="s">
        <v>11</v>
      </c>
    </row>
    <row r="128" spans="1:29" ht="13.8" thickBot="1" x14ac:dyDescent="0.3">
      <c r="B128" s="101"/>
      <c r="C128" s="102" t="s">
        <v>431</v>
      </c>
      <c r="D128" s="101"/>
      <c r="E128" s="101"/>
      <c r="F128" s="116"/>
      <c r="G128" s="104" t="s">
        <v>22</v>
      </c>
      <c r="H128" s="114">
        <f t="shared" si="11"/>
        <v>14.5</v>
      </c>
      <c r="I128" s="104" t="s">
        <v>11</v>
      </c>
      <c r="J128" s="97"/>
      <c r="K128" s="104" t="s">
        <v>22</v>
      </c>
      <c r="L128" s="114">
        <f t="shared" si="12"/>
        <v>14.5</v>
      </c>
      <c r="M128" s="104" t="s">
        <v>11</v>
      </c>
    </row>
    <row r="129" spans="2:21" ht="13.8" thickBot="1" x14ac:dyDescent="0.3">
      <c r="B129" s="101"/>
      <c r="C129" s="102" t="s">
        <v>431</v>
      </c>
      <c r="D129" s="103"/>
      <c r="E129" s="103"/>
      <c r="F129" s="97"/>
      <c r="G129" s="104" t="s">
        <v>22</v>
      </c>
      <c r="H129" s="114">
        <f t="shared" si="11"/>
        <v>14.5</v>
      </c>
      <c r="I129" s="104" t="s">
        <v>11</v>
      </c>
      <c r="J129" s="97"/>
      <c r="K129" s="104" t="s">
        <v>22</v>
      </c>
      <c r="L129" s="114">
        <f t="shared" si="12"/>
        <v>14.5</v>
      </c>
      <c r="M129" s="104" t="s">
        <v>11</v>
      </c>
    </row>
    <row r="130" spans="2:21" x14ac:dyDescent="0.25">
      <c r="B130" s="264"/>
      <c r="C130" s="265" t="s">
        <v>196</v>
      </c>
      <c r="D130" s="266"/>
      <c r="E130" s="266"/>
      <c r="F130" s="267">
        <f>SUM(F123:F129)</f>
        <v>9</v>
      </c>
      <c r="G130" s="264" t="s">
        <v>22</v>
      </c>
      <c r="H130" s="268">
        <f>F130*H123</f>
        <v>130.5</v>
      </c>
      <c r="I130" s="264" t="s">
        <v>14</v>
      </c>
      <c r="J130" s="269">
        <f>SUM(J123:J129)</f>
        <v>0</v>
      </c>
      <c r="K130" s="264" t="s">
        <v>22</v>
      </c>
      <c r="L130" s="268">
        <f>J130*L123</f>
        <v>0</v>
      </c>
      <c r="M130" s="264" t="s">
        <v>14</v>
      </c>
    </row>
    <row r="132" spans="2:21" ht="40.049999999999997" customHeight="1" x14ac:dyDescent="0.25">
      <c r="N132" s="8"/>
      <c r="O132" s="8"/>
      <c r="P132" s="8"/>
      <c r="Q132" s="8"/>
      <c r="R132" s="8"/>
      <c r="S132" s="8"/>
      <c r="T132" s="8"/>
      <c r="U132" s="8"/>
    </row>
    <row r="135" spans="2:21" ht="37.950000000000003" customHeight="1" x14ac:dyDescent="0.25"/>
    <row r="145" spans="1:29" x14ac:dyDescent="0.25">
      <c r="AB145" s="8"/>
      <c r="AC145" s="8"/>
    </row>
    <row r="147" spans="1:29" s="8" customFormat="1" x14ac:dyDescent="0.25">
      <c r="A147" s="595"/>
      <c r="B147"/>
      <c r="C147"/>
      <c r="D147"/>
      <c r="E147"/>
      <c r="F147"/>
      <c r="G147"/>
      <c r="H147"/>
      <c r="I147"/>
      <c r="J147"/>
      <c r="K147"/>
      <c r="L147"/>
      <c r="M147"/>
      <c r="N147"/>
      <c r="O147"/>
      <c r="P147"/>
      <c r="Q147"/>
      <c r="R147"/>
      <c r="S147"/>
      <c r="T147"/>
      <c r="U147"/>
      <c r="AB147"/>
      <c r="AC147"/>
    </row>
    <row r="149" spans="1:29" x14ac:dyDescent="0.25">
      <c r="N149" s="8"/>
      <c r="O149" s="8"/>
      <c r="P149" s="8"/>
      <c r="Q149" s="8"/>
      <c r="R149" s="8"/>
      <c r="S149" s="8"/>
      <c r="T149" s="8"/>
      <c r="U149" s="8"/>
    </row>
  </sheetData>
  <mergeCells count="37">
    <mergeCell ref="F97:G97"/>
    <mergeCell ref="H97:I97"/>
    <mergeCell ref="J97:K97"/>
    <mergeCell ref="B119:M119"/>
    <mergeCell ref="E121:G121"/>
    <mergeCell ref="H121:I121"/>
    <mergeCell ref="J121:K121"/>
    <mergeCell ref="L121:M121"/>
    <mergeCell ref="F75:G75"/>
    <mergeCell ref="H75:I75"/>
    <mergeCell ref="J75:K75"/>
    <mergeCell ref="F82:G82"/>
    <mergeCell ref="H82:I82"/>
    <mergeCell ref="J82:K82"/>
    <mergeCell ref="B60:D60"/>
    <mergeCell ref="B64:D64"/>
    <mergeCell ref="B67:E67"/>
    <mergeCell ref="L67:M67"/>
    <mergeCell ref="F69:G69"/>
    <mergeCell ref="H69:I69"/>
    <mergeCell ref="J69:K69"/>
    <mergeCell ref="B62:D62"/>
    <mergeCell ref="B2:C2"/>
    <mergeCell ref="B4:L4"/>
    <mergeCell ref="B11:D11"/>
    <mergeCell ref="B55:D55"/>
    <mergeCell ref="B24:E24"/>
    <mergeCell ref="B25:E25"/>
    <mergeCell ref="B26:D26"/>
    <mergeCell ref="B29:C29"/>
    <mergeCell ref="C32:D32"/>
    <mergeCell ref="B36:D36"/>
    <mergeCell ref="C39:D39"/>
    <mergeCell ref="B43:D43"/>
    <mergeCell ref="C46:D46"/>
    <mergeCell ref="B50:C50"/>
    <mergeCell ref="C53:D53"/>
  </mergeCells>
  <hyperlinks>
    <hyperlink ref="L67" location="'Avomaan mansikka'!B2" display="PALAA SIVUN YLÄLAITAAN" xr:uid="{8B7739B4-E5E6-C246-B421-4E4797F6204D}"/>
    <hyperlink ref="L67:M67" location="Naturvårdsåker!A1" display="TILL SIDANS BÖRJAN" xr:uid="{C5F96017-E880-1348-996F-7760AEA66AFE}"/>
    <hyperlink ref="B2" location="Tilakokonaisuus!A1" display="PALAA ETUSIVULLE" xr:uid="{19F76881-AFA4-4DFC-9508-0E893D2ABF84}"/>
    <hyperlink ref="B2:C2" location="'Gårdens info'!A1" display="TILL FRAMSIDAN" xr:uid="{7B81CA51-4745-4B9B-89C0-231A031C9D1C}"/>
    <hyperlink ref="B24:E24" location="'Gårdens info'!B140" display="ALLMÄNNA KOSTNADER, naturvårdsåkerns andel" xr:uid="{24803440-63BC-4381-A458-418AE6A3DD1D}"/>
    <hyperlink ref="B29:C29" location="Ägendom!B15" display="BYGGNADER" xr:uid="{4479856D-12F8-4D80-AB0A-347194FF7D08}"/>
    <hyperlink ref="B36:D36" location="Ägendom!B28" display="MASINER OCH UTRUSTNING" xr:uid="{B5A156F5-7CFB-4BCC-A21C-4F02FD6F76C3}"/>
    <hyperlink ref="B43:D43" location="Ägendom!B51" display="LÅNGVARIGA PRODUKTIONSMEDEL" xr:uid="{84F45B40-CCC2-4604-B1E1-AB083EB2104C}"/>
    <hyperlink ref="B50:C50" location="Ägendom!B70" display="TÄCKDIKEN" xr:uid="{40A80549-B72B-4E2B-9362-0BBBD5B183E9}"/>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71A8B-2770-184C-9C7B-D1232967FF5E}">
  <sheetPr>
    <tabColor rgb="FF00B050"/>
  </sheetPr>
  <dimension ref="A1:AC149"/>
  <sheetViews>
    <sheetView workbookViewId="0">
      <selection activeCell="B2" sqref="B2:C2"/>
    </sheetView>
  </sheetViews>
  <sheetFormatPr defaultColWidth="11.44140625" defaultRowHeight="13.2" x14ac:dyDescent="0.25"/>
  <cols>
    <col min="1" max="1" width="5.33203125" style="680" customWidth="1"/>
    <col min="3" max="3" width="16.77734375" customWidth="1"/>
    <col min="4" max="4" width="22.6640625" customWidth="1"/>
    <col min="5" max="5" width="12.109375" bestFit="1" customWidth="1"/>
    <col min="6" max="6" width="20.6640625" bestFit="1" customWidth="1"/>
    <col min="7" max="7" width="6.33203125" customWidth="1"/>
    <col min="8" max="8" width="17.77734375" customWidth="1"/>
    <col min="9" max="9" width="6" customWidth="1"/>
    <col min="10" max="10" width="15.109375" customWidth="1"/>
    <col min="11" max="11" width="9.6640625" customWidth="1"/>
    <col min="12" max="12" width="20" customWidth="1"/>
    <col min="13" max="13" width="12.109375" customWidth="1"/>
    <col min="14" max="14" width="9.44140625" customWidth="1"/>
    <col min="15" max="15" width="6.77734375" customWidth="1"/>
    <col min="16" max="16" width="4.44140625" customWidth="1"/>
    <col min="17" max="17" width="15" customWidth="1"/>
    <col min="18" max="18" width="5.109375" customWidth="1"/>
    <col min="19" max="19" width="18.33203125" bestFit="1" customWidth="1"/>
    <col min="28" max="28" width="11.6640625" bestFit="1" customWidth="1"/>
    <col min="29" max="29" width="11" bestFit="1" customWidth="1"/>
  </cols>
  <sheetData>
    <row r="1" spans="1:13" s="680" customFormat="1" ht="22.8" x14ac:dyDescent="0.4">
      <c r="B1" s="687" t="s">
        <v>611</v>
      </c>
    </row>
    <row r="2" spans="1:13" ht="27" customHeight="1" x14ac:dyDescent="0.3">
      <c r="B2" s="976" t="s">
        <v>337</v>
      </c>
      <c r="C2" s="976"/>
      <c r="F2" s="91"/>
      <c r="G2" s="91"/>
      <c r="H2" s="91"/>
    </row>
    <row r="3" spans="1:13" ht="27" customHeight="1" x14ac:dyDescent="0.3">
      <c r="B3" s="479"/>
      <c r="C3" s="479"/>
    </row>
    <row r="4" spans="1:13" ht="52.05" customHeight="1" x14ac:dyDescent="0.3">
      <c r="B4" s="942" t="s">
        <v>236</v>
      </c>
      <c r="C4" s="942"/>
      <c r="D4" s="942"/>
      <c r="E4" s="942"/>
      <c r="F4" s="942"/>
      <c r="G4" s="942"/>
      <c r="H4" s="942"/>
      <c r="I4" s="942"/>
      <c r="J4" s="942"/>
      <c r="K4" s="942"/>
      <c r="L4" s="942"/>
    </row>
    <row r="5" spans="1:13" ht="27" customHeight="1" thickBot="1" x14ac:dyDescent="0.35">
      <c r="B5" s="479"/>
      <c r="C5" s="479"/>
    </row>
    <row r="6" spans="1:13" ht="27" customHeight="1" x14ac:dyDescent="0.4">
      <c r="B6" s="318" t="s">
        <v>641</v>
      </c>
      <c r="C6" s="282"/>
      <c r="D6" s="283"/>
      <c r="E6" s="283"/>
      <c r="F6" s="283"/>
      <c r="G6" s="283"/>
      <c r="H6" s="283"/>
      <c r="I6" s="283"/>
      <c r="J6" s="283"/>
      <c r="K6" s="283"/>
      <c r="L6" s="283"/>
      <c r="M6" s="284"/>
    </row>
    <row r="7" spans="1:13" ht="27" customHeight="1" x14ac:dyDescent="0.4">
      <c r="B7" s="285"/>
      <c r="C7" s="286"/>
      <c r="D7" s="148"/>
      <c r="E7" s="148"/>
      <c r="F7" s="148"/>
      <c r="G7" s="148"/>
      <c r="H7" s="148"/>
      <c r="I7" s="148"/>
      <c r="J7" s="148"/>
      <c r="K7" s="148"/>
      <c r="L7" s="148"/>
      <c r="M7" s="287"/>
    </row>
    <row r="8" spans="1:13" ht="21" x14ac:dyDescent="0.4">
      <c r="B8" s="319" t="s">
        <v>238</v>
      </c>
      <c r="C8" s="286"/>
      <c r="D8" s="148"/>
      <c r="E8" s="151"/>
      <c r="F8" s="151"/>
      <c r="G8" s="151"/>
      <c r="H8" s="151"/>
      <c r="I8" s="148"/>
      <c r="J8" s="148"/>
      <c r="K8" s="148"/>
      <c r="L8" s="148"/>
      <c r="M8" s="287"/>
    </row>
    <row r="9" spans="1:13" ht="21" customHeight="1" x14ac:dyDescent="0.25">
      <c r="B9" s="288"/>
      <c r="C9" s="289" t="s">
        <v>201</v>
      </c>
      <c r="D9" s="151"/>
      <c r="E9" s="151"/>
      <c r="F9" s="290">
        <f>H9*'Gårdens info'!G36</f>
        <v>0</v>
      </c>
      <c r="G9" s="151" t="s">
        <v>14</v>
      </c>
      <c r="H9" s="362">
        <v>0</v>
      </c>
      <c r="I9" s="151" t="s">
        <v>6</v>
      </c>
      <c r="J9" s="290">
        <f>F9*'Gårdens info'!D36</f>
        <v>0</v>
      </c>
      <c r="K9" s="151" t="s">
        <v>652</v>
      </c>
      <c r="L9" s="151"/>
      <c r="M9" s="287"/>
    </row>
    <row r="10" spans="1:13" ht="15" x14ac:dyDescent="0.25">
      <c r="B10" s="288"/>
      <c r="C10" s="151" t="s">
        <v>224</v>
      </c>
      <c r="D10" s="151"/>
      <c r="E10" s="151"/>
      <c r="F10" s="290">
        <f>IF('Gårdens info'!D36&gt;0,Stöd!J6/'Gårdens info'!D37*Stöd!L6+Stöd!J7/'Gårdens info'!D37*Stöd!L7+Stöd!J8/'Gårdens info'!D37*Stöd!L8+Stöd!J12/'Gårdens info'!D37*Stöd!L12+Stöd!J13/'Gårdens info'!D37*Stöd!L13+Stöd!J15/'Gårdens info'!D37*Stöd!L15+Stöd!J16/'Gårdens info'!D37*Stöd!L16+Stöd!J18/'Gårdens info'!D37*Stöd!L18+Stöd!J19/'Gårdens info'!D37*Stöd!L19+Stöd!J20/'Gårdens info'!D37*Stöd!L20+Stöd!J21/'Gårdens info'!D37*Stöd!L21,0)</f>
        <v>0</v>
      </c>
      <c r="G10" s="151" t="s">
        <v>14</v>
      </c>
      <c r="H10" s="362">
        <f>IF('Gårdens info'!G36&gt;0,F10/'Gårdens info'!G36,0)</f>
        <v>0</v>
      </c>
      <c r="I10" s="151" t="s">
        <v>6</v>
      </c>
      <c r="J10" s="290">
        <f>F10*'Gårdens info'!D36</f>
        <v>0</v>
      </c>
      <c r="K10" s="151" t="s">
        <v>652</v>
      </c>
      <c r="L10" s="151"/>
      <c r="M10" s="287"/>
    </row>
    <row r="11" spans="1:13" s="8" customFormat="1" ht="21" customHeight="1" x14ac:dyDescent="0.4">
      <c r="A11" s="681"/>
      <c r="B11" s="932" t="s">
        <v>240</v>
      </c>
      <c r="C11" s="933"/>
      <c r="D11" s="933"/>
      <c r="E11" s="324"/>
      <c r="F11" s="328">
        <f>F9+F10</f>
        <v>0</v>
      </c>
      <c r="G11" s="329" t="s">
        <v>14</v>
      </c>
      <c r="H11" s="330">
        <f>H9+H10</f>
        <v>0</v>
      </c>
      <c r="I11" s="329" t="s">
        <v>6</v>
      </c>
      <c r="J11" s="331">
        <f>J9+J10</f>
        <v>0</v>
      </c>
      <c r="K11" s="329" t="s">
        <v>652</v>
      </c>
      <c r="L11" s="329"/>
      <c r="M11" s="321"/>
    </row>
    <row r="12" spans="1:13" s="8" customFormat="1" ht="21" x14ac:dyDescent="0.4">
      <c r="A12" s="681"/>
      <c r="B12" s="844"/>
      <c r="C12" s="845"/>
      <c r="D12" s="845"/>
      <c r="E12" s="324"/>
      <c r="F12" s="328"/>
      <c r="G12" s="329"/>
      <c r="H12" s="330"/>
      <c r="I12" s="329"/>
      <c r="J12" s="331"/>
      <c r="K12" s="329"/>
      <c r="L12" s="329"/>
      <c r="M12" s="321"/>
    </row>
    <row r="13" spans="1:13" ht="22.05" customHeight="1" x14ac:dyDescent="0.3">
      <c r="B13" s="292"/>
      <c r="C13" s="286"/>
      <c r="D13" s="148"/>
      <c r="E13" s="148"/>
      <c r="F13" s="148"/>
      <c r="G13" s="148"/>
      <c r="H13" s="148"/>
      <c r="I13" s="148"/>
      <c r="J13" s="293"/>
      <c r="K13" s="148"/>
      <c r="L13" s="148"/>
      <c r="M13" s="287"/>
    </row>
    <row r="14" spans="1:13" ht="21" x14ac:dyDescent="0.4">
      <c r="B14" s="319" t="s">
        <v>613</v>
      </c>
      <c r="C14" s="286"/>
      <c r="D14" s="148"/>
      <c r="E14" s="148"/>
      <c r="F14" s="148"/>
      <c r="G14" s="148"/>
      <c r="H14" s="148"/>
      <c r="I14" s="148"/>
      <c r="J14" s="293"/>
      <c r="K14" s="148"/>
      <c r="L14" s="148"/>
      <c r="M14" s="287"/>
    </row>
    <row r="15" spans="1:13" s="77" customFormat="1" ht="16.95" customHeight="1" x14ac:dyDescent="0.3">
      <c r="A15" s="682"/>
      <c r="B15" s="602"/>
      <c r="C15" s="306"/>
      <c r="D15" s="310"/>
      <c r="E15" s="310"/>
      <c r="F15" s="311"/>
      <c r="G15" s="153"/>
      <c r="H15" s="310"/>
      <c r="I15" s="310"/>
      <c r="J15" s="310"/>
      <c r="K15" s="310"/>
      <c r="L15" s="310"/>
      <c r="M15" s="295"/>
    </row>
    <row r="16" spans="1:13" s="91" customFormat="1" ht="16.95" customHeight="1" x14ac:dyDescent="0.25">
      <c r="A16" s="682"/>
      <c r="B16" s="602"/>
      <c r="C16" s="289" t="s">
        <v>243</v>
      </c>
      <c r="D16" s="297"/>
      <c r="E16" s="297"/>
      <c r="F16" s="308">
        <f>IF('Gårdens info'!D36&gt;0,J71,0)</f>
        <v>0</v>
      </c>
      <c r="G16" s="151" t="s">
        <v>14</v>
      </c>
      <c r="H16" s="299">
        <f>IF('Gårdens info'!G36&gt;0,F16/'Gårdens info'!$G$22,0)</f>
        <v>0</v>
      </c>
      <c r="I16" s="151" t="s">
        <v>6</v>
      </c>
      <c r="J16" s="298">
        <f>F16*'Gårdens info'!$D$36</f>
        <v>0</v>
      </c>
      <c r="K16" s="151" t="s">
        <v>652</v>
      </c>
      <c r="L16" s="297"/>
      <c r="M16" s="300"/>
    </row>
    <row r="17" spans="1:29" s="91" customFormat="1" ht="15" x14ac:dyDescent="0.25">
      <c r="A17" s="682"/>
      <c r="B17" s="296"/>
      <c r="C17" s="289" t="s">
        <v>244</v>
      </c>
      <c r="D17" s="297"/>
      <c r="E17" s="297"/>
      <c r="F17" s="298">
        <f>IF('Gårdens info'!D36&gt;0,J79,0)</f>
        <v>0</v>
      </c>
      <c r="G17" s="151" t="s">
        <v>14</v>
      </c>
      <c r="H17" s="299">
        <f>IF('Gårdens info'!G36&gt;0,F17/'Gårdens info'!$G$22,0)</f>
        <v>0</v>
      </c>
      <c r="I17" s="151" t="s">
        <v>6</v>
      </c>
      <c r="J17" s="298">
        <f>F17*'Gårdens info'!$D$36</f>
        <v>0</v>
      </c>
      <c r="K17" s="151" t="s">
        <v>652</v>
      </c>
      <c r="L17" s="297"/>
      <c r="M17" s="300"/>
    </row>
    <row r="18" spans="1:29" s="91" customFormat="1" ht="15" x14ac:dyDescent="0.25">
      <c r="A18" s="682"/>
      <c r="B18" s="296"/>
      <c r="C18" s="289" t="s">
        <v>245</v>
      </c>
      <c r="D18" s="297"/>
      <c r="E18" s="297"/>
      <c r="F18" s="298">
        <f>IF('Gårdens info'!D36&gt;0,J94,0)</f>
        <v>0</v>
      </c>
      <c r="G18" s="151" t="s">
        <v>14</v>
      </c>
      <c r="H18" s="299">
        <f>IF('Gårdens info'!G36&gt;0,F18/'Gårdens info'!$G$22,0)</f>
        <v>0</v>
      </c>
      <c r="I18" s="151" t="s">
        <v>6</v>
      </c>
      <c r="J18" s="298">
        <f>F18*'Gårdens info'!$D$36</f>
        <v>0</v>
      </c>
      <c r="K18" s="151" t="s">
        <v>652</v>
      </c>
      <c r="L18" s="297"/>
      <c r="M18" s="300"/>
    </row>
    <row r="19" spans="1:29" s="91" customFormat="1" ht="15" x14ac:dyDescent="0.25">
      <c r="A19" s="682"/>
      <c r="B19" s="296"/>
      <c r="C19" s="289" t="s">
        <v>387</v>
      </c>
      <c r="D19" s="297"/>
      <c r="E19" s="297"/>
      <c r="F19" s="298">
        <f>IF('Gårdens info'!D36&gt;0,J102,0)</f>
        <v>0</v>
      </c>
      <c r="G19" s="151" t="s">
        <v>14</v>
      </c>
      <c r="H19" s="299">
        <f>IF('Gårdens info'!G36&gt;0,F19/'Gårdens info'!$G$22,0)</f>
        <v>0</v>
      </c>
      <c r="I19" s="151" t="s">
        <v>6</v>
      </c>
      <c r="J19" s="298">
        <f>F19*'Gårdens info'!$D$36</f>
        <v>0</v>
      </c>
      <c r="K19" s="151" t="s">
        <v>652</v>
      </c>
      <c r="L19" s="297"/>
      <c r="M19" s="300"/>
    </row>
    <row r="20" spans="1:29" s="91" customFormat="1" ht="15" x14ac:dyDescent="0.25">
      <c r="A20" s="682"/>
      <c r="B20" s="296"/>
      <c r="C20" s="289" t="s">
        <v>249</v>
      </c>
      <c r="D20" s="297"/>
      <c r="E20" s="297"/>
      <c r="F20" s="298">
        <f>IF('Gårdens info'!D36&gt;0,J114,0)</f>
        <v>0</v>
      </c>
      <c r="G20" s="151" t="s">
        <v>14</v>
      </c>
      <c r="H20" s="299">
        <f>IF('Gårdens info'!G36&gt;0,F20/'Gårdens info'!$G$22,0)</f>
        <v>0</v>
      </c>
      <c r="I20" s="151" t="s">
        <v>6</v>
      </c>
      <c r="J20" s="298">
        <f>F20*'Gårdens info'!$D$36</f>
        <v>0</v>
      </c>
      <c r="K20" s="151" t="s">
        <v>652</v>
      </c>
      <c r="L20" s="297"/>
      <c r="M20" s="300"/>
    </row>
    <row r="21" spans="1:29" s="91" customFormat="1" ht="15" x14ac:dyDescent="0.25">
      <c r="A21" s="682"/>
      <c r="B21" s="296"/>
      <c r="C21" s="289" t="s">
        <v>614</v>
      </c>
      <c r="D21" s="297"/>
      <c r="E21" s="297"/>
      <c r="F21" s="298">
        <f>IF('Gårdens info'!D36&gt;0,L130,0)</f>
        <v>0</v>
      </c>
      <c r="G21" s="151" t="s">
        <v>14</v>
      </c>
      <c r="H21" s="299">
        <f>IF('Gårdens info'!G36&gt;0,F21/'Gårdens info'!$G$22,0)</f>
        <v>0</v>
      </c>
      <c r="I21" s="151" t="s">
        <v>6</v>
      </c>
      <c r="J21" s="298">
        <f>F21*'Gårdens info'!$D$36</f>
        <v>0</v>
      </c>
      <c r="K21" s="151" t="s">
        <v>652</v>
      </c>
      <c r="L21" s="297"/>
      <c r="M21" s="300"/>
    </row>
    <row r="22" spans="1:29" ht="15.6" x14ac:dyDescent="0.3">
      <c r="B22" s="312"/>
      <c r="C22" s="301" t="s">
        <v>196</v>
      </c>
      <c r="D22" s="302"/>
      <c r="E22" s="302"/>
      <c r="F22" s="303">
        <f>SUM(F16:F21)</f>
        <v>0</v>
      </c>
      <c r="G22" s="304" t="s">
        <v>14</v>
      </c>
      <c r="H22" s="305">
        <f>SUM(H16:H21)</f>
        <v>0</v>
      </c>
      <c r="I22" s="304" t="s">
        <v>6</v>
      </c>
      <c r="J22" s="303">
        <f>SUM(J16:J21)</f>
        <v>0</v>
      </c>
      <c r="K22" s="304" t="s">
        <v>652</v>
      </c>
      <c r="L22" s="302"/>
      <c r="M22" s="313"/>
      <c r="N22" s="91"/>
      <c r="O22" s="91"/>
      <c r="P22" s="91"/>
      <c r="Q22" s="91"/>
      <c r="R22" s="91"/>
      <c r="S22" s="91"/>
      <c r="T22" s="91"/>
      <c r="U22" s="91"/>
    </row>
    <row r="23" spans="1:29" s="77" customFormat="1" ht="17.399999999999999" x14ac:dyDescent="0.3">
      <c r="A23" s="683"/>
      <c r="B23" s="292"/>
      <c r="C23" s="306"/>
      <c r="D23" s="307"/>
      <c r="E23" s="307"/>
      <c r="F23" s="308"/>
      <c r="G23" s="151"/>
      <c r="H23" s="307"/>
      <c r="I23" s="307"/>
      <c r="J23" s="307"/>
      <c r="K23" s="307"/>
      <c r="L23" s="307"/>
      <c r="M23" s="287"/>
      <c r="N23" s="91"/>
      <c r="O23" s="91"/>
      <c r="P23" s="91"/>
      <c r="R23" s="91"/>
      <c r="S23" s="91"/>
      <c r="T23" s="91"/>
      <c r="U23" s="91"/>
      <c r="AB23" s="77" t="s">
        <v>243</v>
      </c>
    </row>
    <row r="24" spans="1:29" s="91" customFormat="1" ht="17.399999999999999" customHeight="1" x14ac:dyDescent="0.3">
      <c r="A24" s="682"/>
      <c r="B24" s="947" t="s">
        <v>645</v>
      </c>
      <c r="C24" s="948"/>
      <c r="D24" s="948"/>
      <c r="E24" s="948"/>
      <c r="F24" s="325">
        <f>IF('Gårdens info'!D36&gt;0,J24/'Gårdens info'!D36,0)</f>
        <v>0</v>
      </c>
      <c r="G24" s="304" t="s">
        <v>14</v>
      </c>
      <c r="H24" s="326">
        <f>IF('Gårdens info'!G36&gt;0,F24/'Gårdens info'!G22,0)</f>
        <v>0</v>
      </c>
      <c r="I24" s="304" t="s">
        <v>6</v>
      </c>
      <c r="J24" s="625">
        <f>'Gårdens info'!G147/'Gårdens info'!D43*'Gårdens info'!D35</f>
        <v>0</v>
      </c>
      <c r="K24" s="304" t="s">
        <v>652</v>
      </c>
      <c r="L24" s="327"/>
      <c r="M24" s="321"/>
      <c r="N24"/>
      <c r="O24"/>
      <c r="P24"/>
      <c r="S24"/>
      <c r="T24"/>
      <c r="U24"/>
      <c r="AB24" s="91" t="str">
        <f>C17</f>
        <v>Gödsel och kalk</v>
      </c>
      <c r="AC24" s="458">
        <f>H17</f>
        <v>0</v>
      </c>
    </row>
    <row r="25" spans="1:29" s="91" customFormat="1" ht="17.399999999999999" customHeight="1" x14ac:dyDescent="0.3">
      <c r="A25" s="682"/>
      <c r="B25" s="949" t="s">
        <v>646</v>
      </c>
      <c r="C25" s="950"/>
      <c r="D25" s="950"/>
      <c r="E25" s="950"/>
      <c r="F25" s="325">
        <f>'Gårdens info'!$G$42*'Gårdens info'!$D$42/'Gårdens info'!$D$37*'Gårdens info'!D36</f>
        <v>0</v>
      </c>
      <c r="G25" s="304" t="s">
        <v>14</v>
      </c>
      <c r="H25" s="326">
        <f>IF('Gårdens info'!G36&gt;0,F25/'Gårdens info'!G35,0)</f>
        <v>0</v>
      </c>
      <c r="I25" s="304" t="s">
        <v>6</v>
      </c>
      <c r="J25" s="625">
        <f>F25*'Gårdens info'!$D$35</f>
        <v>0</v>
      </c>
      <c r="K25" s="304" t="s">
        <v>652</v>
      </c>
      <c r="L25" s="327"/>
      <c r="M25" s="321"/>
      <c r="N25" s="77"/>
      <c r="O25" s="77"/>
      <c r="P25" s="77"/>
      <c r="S25" s="77"/>
      <c r="T25" s="77"/>
      <c r="U25" s="77"/>
      <c r="AB25" s="91" t="str">
        <f>C18</f>
        <v>IPM Växtskydd</v>
      </c>
      <c r="AC25" s="458">
        <f>H18</f>
        <v>0</v>
      </c>
    </row>
    <row r="26" spans="1:29" s="91" customFormat="1" ht="21" customHeight="1" x14ac:dyDescent="0.4">
      <c r="A26" s="682"/>
      <c r="B26" s="932" t="s">
        <v>226</v>
      </c>
      <c r="C26" s="933"/>
      <c r="D26" s="933"/>
      <c r="E26" s="324"/>
      <c r="F26" s="328">
        <f>F22+F24+F25</f>
        <v>0</v>
      </c>
      <c r="G26" s="329" t="s">
        <v>14</v>
      </c>
      <c r="H26" s="330">
        <f>H22+H24+H25</f>
        <v>0</v>
      </c>
      <c r="I26" s="329" t="s">
        <v>6</v>
      </c>
      <c r="J26" s="331">
        <f>J22+J24+J25</f>
        <v>0</v>
      </c>
      <c r="K26" s="329" t="s">
        <v>652</v>
      </c>
      <c r="L26" s="329"/>
      <c r="M26" s="321"/>
      <c r="AB26" s="91" t="str">
        <f t="shared" ref="AB26:AB28" si="0">C19</f>
        <v>Maskinhyra och entreprenad</v>
      </c>
      <c r="AC26" s="458">
        <f t="shared" ref="AC26:AC28" si="1">H19</f>
        <v>0</v>
      </c>
    </row>
    <row r="27" spans="1:29" s="91" customFormat="1" ht="21" x14ac:dyDescent="0.4">
      <c r="A27" s="682"/>
      <c r="B27" s="844"/>
      <c r="C27" s="845"/>
      <c r="D27" s="845"/>
      <c r="E27" s="324"/>
      <c r="F27" s="328"/>
      <c r="G27" s="329"/>
      <c r="H27" s="330"/>
      <c r="I27" s="329"/>
      <c r="J27" s="331"/>
      <c r="K27" s="329"/>
      <c r="L27" s="329"/>
      <c r="M27" s="321"/>
      <c r="AB27" s="91" t="str">
        <f t="shared" si="0"/>
        <v>Energikostnader</v>
      </c>
      <c r="AC27" s="458">
        <f t="shared" si="1"/>
        <v>0</v>
      </c>
    </row>
    <row r="28" spans="1:29" s="91" customFormat="1" ht="21" x14ac:dyDescent="0.4">
      <c r="A28" s="682"/>
      <c r="B28" s="319" t="s">
        <v>647</v>
      </c>
      <c r="C28" s="286"/>
      <c r="D28" s="148"/>
      <c r="E28" s="148"/>
      <c r="F28" s="148"/>
      <c r="G28" s="148"/>
      <c r="H28" s="148"/>
      <c r="I28" s="148"/>
      <c r="J28" s="293"/>
      <c r="K28" s="148"/>
      <c r="L28" s="148"/>
      <c r="M28" s="287"/>
      <c r="AB28" s="91" t="str">
        <f t="shared" si="0"/>
        <v xml:space="preserve">Anställd arbetskraft </v>
      </c>
      <c r="AC28" s="458">
        <f t="shared" si="1"/>
        <v>0</v>
      </c>
    </row>
    <row r="29" spans="1:29" s="91" customFormat="1" ht="21" customHeight="1" x14ac:dyDescent="0.4">
      <c r="A29" s="682"/>
      <c r="B29" s="947" t="s">
        <v>149</v>
      </c>
      <c r="C29" s="948"/>
      <c r="D29" s="845"/>
      <c r="E29" s="324"/>
      <c r="F29" s="328"/>
      <c r="G29" s="329"/>
      <c r="H29" s="330"/>
      <c r="I29" s="329"/>
      <c r="J29" s="331"/>
      <c r="K29" s="329"/>
      <c r="L29" s="329"/>
      <c r="M29" s="321"/>
      <c r="AB29" s="882" t="s">
        <v>572</v>
      </c>
      <c r="AC29" s="459">
        <f>H24</f>
        <v>0</v>
      </c>
    </row>
    <row r="30" spans="1:29" s="91" customFormat="1" ht="21" x14ac:dyDescent="0.4">
      <c r="A30" s="682"/>
      <c r="B30" s="350"/>
      <c r="C30" s="846" t="s">
        <v>264</v>
      </c>
      <c r="D30" s="845"/>
      <c r="E30" s="324"/>
      <c r="F30" s="338">
        <f>IF('Gårdens info'!$D$36&gt;0,J30/'Gårdens info'!$D$36,0)</f>
        <v>0</v>
      </c>
      <c r="G30" s="151" t="s">
        <v>14</v>
      </c>
      <c r="H30" s="339">
        <f>IF('Gårdens info'!G36&gt;0,F30/'Gårdens info'!$G$22,0)</f>
        <v>0</v>
      </c>
      <c r="I30" s="151" t="s">
        <v>6</v>
      </c>
      <c r="J30" s="298">
        <f>Ägendom!BD22</f>
        <v>0</v>
      </c>
      <c r="K30" s="151" t="s">
        <v>652</v>
      </c>
      <c r="L30" s="329"/>
      <c r="M30" s="321"/>
      <c r="AB30" s="91" t="s">
        <v>728</v>
      </c>
      <c r="AC30" s="459">
        <f>H25</f>
        <v>0</v>
      </c>
    </row>
    <row r="31" spans="1:29" s="236" customFormat="1" ht="21" x14ac:dyDescent="0.4">
      <c r="A31" s="684"/>
      <c r="B31" s="350"/>
      <c r="C31" s="846" t="s">
        <v>265</v>
      </c>
      <c r="D31" s="845"/>
      <c r="E31" s="324"/>
      <c r="F31" s="338">
        <f>IF('Gårdens info'!$D$36&gt;0,J31/'Gårdens info'!$D$36,0)</f>
        <v>0</v>
      </c>
      <c r="G31" s="151" t="s">
        <v>14</v>
      </c>
      <c r="H31" s="339">
        <f>IF('Gårdens info'!G36&gt;0,F31/'Gårdens info'!$G$22,0)</f>
        <v>0</v>
      </c>
      <c r="I31" s="151" t="s">
        <v>6</v>
      </c>
      <c r="J31" s="298">
        <f>Ägendom!BZ22</f>
        <v>0</v>
      </c>
      <c r="K31" s="151" t="s">
        <v>652</v>
      </c>
      <c r="L31" s="329"/>
      <c r="M31" s="321"/>
      <c r="N31" s="91"/>
      <c r="O31" s="91"/>
      <c r="P31" s="91"/>
      <c r="S31" s="91"/>
      <c r="T31" s="91"/>
      <c r="U31" s="91"/>
      <c r="AB31" s="91" t="s">
        <v>576</v>
      </c>
      <c r="AC31" s="460">
        <f>H34</f>
        <v>0</v>
      </c>
    </row>
    <row r="32" spans="1:29" ht="17.399999999999999" customHeight="1" x14ac:dyDescent="0.3">
      <c r="B32" s="350"/>
      <c r="C32" s="941" t="s">
        <v>266</v>
      </c>
      <c r="D32" s="941"/>
      <c r="E32" s="324"/>
      <c r="F32" s="338">
        <f>IF('Gårdens info'!$D$36&gt;0,J32/'Gårdens info'!$D$36,0)</f>
        <v>0</v>
      </c>
      <c r="G32" s="151" t="s">
        <v>14</v>
      </c>
      <c r="H32" s="339">
        <f>IF('Gårdens info'!G36&gt;0,F32/'Gårdens info'!$G$22,0)</f>
        <v>0</v>
      </c>
      <c r="I32" s="151" t="s">
        <v>6</v>
      </c>
      <c r="J32" s="298">
        <f>Ägendom!CV22</f>
        <v>0</v>
      </c>
      <c r="K32" s="151" t="s">
        <v>652</v>
      </c>
      <c r="L32" s="329"/>
      <c r="M32" s="321"/>
      <c r="N32" s="91"/>
      <c r="O32" s="91"/>
      <c r="P32" s="91"/>
      <c r="S32" s="91"/>
      <c r="T32" s="91"/>
      <c r="U32" s="91"/>
      <c r="AB32" s="91" t="s">
        <v>577</v>
      </c>
      <c r="AC32" s="461">
        <f>H41</f>
        <v>0</v>
      </c>
    </row>
    <row r="33" spans="1:29" ht="21" x14ac:dyDescent="0.4">
      <c r="B33" s="350"/>
      <c r="C33" s="846" t="s">
        <v>399</v>
      </c>
      <c r="D33" s="845"/>
      <c r="E33" s="324"/>
      <c r="F33" s="338">
        <f>IF('Gårdens info'!$D$36&gt;0,J33/'Gårdens info'!$D$36,0)</f>
        <v>0</v>
      </c>
      <c r="G33" s="151" t="s">
        <v>14</v>
      </c>
      <c r="H33" s="339">
        <f>IF('Gårdens info'!G36&gt;0,F33/'Gårdens info'!$G$22,0)</f>
        <v>0</v>
      </c>
      <c r="I33" s="151" t="s">
        <v>6</v>
      </c>
      <c r="J33" s="298">
        <f>Ägendom!DR22</f>
        <v>0</v>
      </c>
      <c r="K33" s="151" t="s">
        <v>652</v>
      </c>
      <c r="L33" s="329"/>
      <c r="M33" s="321"/>
      <c r="N33" s="236"/>
      <c r="O33" s="236"/>
      <c r="P33" s="236"/>
      <c r="S33" s="236"/>
      <c r="T33" s="236"/>
      <c r="U33" s="236"/>
      <c r="AB33" s="91" t="s">
        <v>578</v>
      </c>
      <c r="AC33" s="461">
        <f>H48</f>
        <v>0</v>
      </c>
    </row>
    <row r="34" spans="1:29" ht="20.399999999999999" x14ac:dyDescent="0.35">
      <c r="B34" s="352"/>
      <c r="C34" s="340" t="s">
        <v>196</v>
      </c>
      <c r="D34" s="341"/>
      <c r="E34" s="324"/>
      <c r="F34" s="342">
        <f>SUM(F30:F33)</f>
        <v>0</v>
      </c>
      <c r="G34" s="151" t="s">
        <v>14</v>
      </c>
      <c r="H34" s="348">
        <f t="shared" ref="H34:J34" si="2">SUM(H30:H33)</f>
        <v>0</v>
      </c>
      <c r="I34" s="151" t="s">
        <v>6</v>
      </c>
      <c r="J34" s="342">
        <f t="shared" si="2"/>
        <v>0</v>
      </c>
      <c r="K34" s="151" t="s">
        <v>652</v>
      </c>
      <c r="L34" s="343"/>
      <c r="M34" s="321"/>
      <c r="AB34" s="91" t="s">
        <v>162</v>
      </c>
      <c r="AC34" s="461">
        <f>H54</f>
        <v>0</v>
      </c>
    </row>
    <row r="35" spans="1:29" s="91" customFormat="1" ht="21" x14ac:dyDescent="0.4">
      <c r="A35" s="682"/>
      <c r="B35" s="350"/>
      <c r="C35" s="846"/>
      <c r="D35" s="845"/>
      <c r="E35" s="324"/>
      <c r="F35" s="338"/>
      <c r="G35" s="151"/>
      <c r="H35" s="339"/>
      <c r="I35" s="151"/>
      <c r="J35" s="298"/>
      <c r="K35" s="151"/>
      <c r="L35" s="329"/>
      <c r="M35" s="321"/>
      <c r="N35"/>
      <c r="O35"/>
      <c r="P35"/>
      <c r="S35"/>
      <c r="T35"/>
      <c r="U35"/>
      <c r="AB35" s="91" t="s">
        <v>727</v>
      </c>
      <c r="AC35" s="459">
        <f>H60</f>
        <v>0</v>
      </c>
    </row>
    <row r="36" spans="1:29" s="91" customFormat="1" ht="17.399999999999999" customHeight="1" x14ac:dyDescent="0.3">
      <c r="A36" s="682"/>
      <c r="B36" s="970" t="s">
        <v>400</v>
      </c>
      <c r="C36" s="971"/>
      <c r="D36" s="971"/>
      <c r="E36" s="324"/>
      <c r="F36" s="338"/>
      <c r="G36" s="151"/>
      <c r="H36" s="339"/>
      <c r="I36" s="151"/>
      <c r="J36" s="298"/>
      <c r="K36" s="151"/>
      <c r="L36" s="329"/>
      <c r="M36" s="321"/>
      <c r="N36"/>
      <c r="O36"/>
      <c r="P36"/>
      <c r="S36"/>
      <c r="T36"/>
      <c r="U36"/>
      <c r="AB36" s="8"/>
      <c r="AC36" s="8"/>
    </row>
    <row r="37" spans="1:29" s="91" customFormat="1" ht="21" x14ac:dyDescent="0.4">
      <c r="A37" s="682"/>
      <c r="B37" s="350"/>
      <c r="C37" s="846" t="s">
        <v>264</v>
      </c>
      <c r="D37" s="845"/>
      <c r="E37" s="324"/>
      <c r="F37" s="338">
        <f>IF('Gårdens info'!$D$36&gt;0,J37/'Gårdens info'!$D$36,0)</f>
        <v>0</v>
      </c>
      <c r="G37" s="151" t="s">
        <v>14</v>
      </c>
      <c r="H37" s="339">
        <f>IF('Gårdens info'!G36&gt;0,F37/'Gårdens info'!$G$22,0)</f>
        <v>0</v>
      </c>
      <c r="I37" s="151" t="s">
        <v>6</v>
      </c>
      <c r="J37" s="298">
        <f>Ägendom!BD51</f>
        <v>0</v>
      </c>
      <c r="K37" s="151" t="s">
        <v>652</v>
      </c>
      <c r="L37" s="329"/>
      <c r="M37" s="321"/>
      <c r="AB37" s="8"/>
      <c r="AC37" s="8"/>
    </row>
    <row r="38" spans="1:29" s="8" customFormat="1" ht="21" x14ac:dyDescent="0.4">
      <c r="A38" s="681"/>
      <c r="B38" s="350"/>
      <c r="C38" s="846" t="s">
        <v>265</v>
      </c>
      <c r="D38" s="845"/>
      <c r="E38" s="324"/>
      <c r="F38" s="338">
        <f>IF('Gårdens info'!$D$36&gt;0,J38/'Gårdens info'!$D$36,0)</f>
        <v>0</v>
      </c>
      <c r="G38" s="151" t="s">
        <v>14</v>
      </c>
      <c r="H38" s="339">
        <f>IF('Gårdens info'!G36&gt;0,F38/'Gårdens info'!$G$22,0)</f>
        <v>0</v>
      </c>
      <c r="I38" s="151" t="s">
        <v>6</v>
      </c>
      <c r="J38" s="298">
        <f>Ägendom!BZ51</f>
        <v>0</v>
      </c>
      <c r="K38" s="151" t="s">
        <v>652</v>
      </c>
      <c r="L38" s="329"/>
      <c r="M38" s="321"/>
      <c r="N38" s="91"/>
      <c r="O38" s="91"/>
      <c r="P38" s="91"/>
      <c r="Q38" s="91"/>
      <c r="R38" s="91"/>
      <c r="S38" s="91"/>
      <c r="T38" s="91"/>
      <c r="U38" s="91"/>
    </row>
    <row r="39" spans="1:29" s="8" customFormat="1" ht="17.399999999999999" customHeight="1" x14ac:dyDescent="0.3">
      <c r="A39" s="681"/>
      <c r="B39" s="350"/>
      <c r="C39" s="941" t="s">
        <v>266</v>
      </c>
      <c r="D39" s="941"/>
      <c r="E39" s="324"/>
      <c r="F39" s="338">
        <f>IF('Gårdens info'!$D$36&gt;0,J39/'Gårdens info'!$D$36,0)</f>
        <v>0</v>
      </c>
      <c r="G39" s="151" t="s">
        <v>14</v>
      </c>
      <c r="H39" s="339">
        <f>IF('Gårdens info'!G36&gt;0,F39/'Gårdens info'!$G$22,0)</f>
        <v>0</v>
      </c>
      <c r="I39" s="151" t="s">
        <v>6</v>
      </c>
      <c r="J39" s="298">
        <f>Ägendom!CV51</f>
        <v>0</v>
      </c>
      <c r="K39" s="151" t="s">
        <v>652</v>
      </c>
      <c r="L39" s="329"/>
      <c r="M39" s="321"/>
      <c r="N39" s="91"/>
      <c r="O39" s="91"/>
      <c r="P39" s="91"/>
      <c r="Q39" s="91"/>
      <c r="R39" s="91"/>
      <c r="S39" s="91"/>
      <c r="T39" s="91"/>
      <c r="U39" s="91"/>
    </row>
    <row r="40" spans="1:29" s="8" customFormat="1" ht="21" x14ac:dyDescent="0.4">
      <c r="A40" s="681"/>
      <c r="B40" s="350"/>
      <c r="C40" s="846" t="s">
        <v>399</v>
      </c>
      <c r="D40" s="845"/>
      <c r="E40" s="324"/>
      <c r="F40" s="338">
        <f>IF('Gårdens info'!$D$36&gt;0,J40/'Gårdens info'!$D$36,0)</f>
        <v>0</v>
      </c>
      <c r="G40" s="151" t="s">
        <v>14</v>
      </c>
      <c r="H40" s="339">
        <f>IF('Gårdens info'!G36&gt;0,F40/'Gårdens info'!$G$22,0)</f>
        <v>0</v>
      </c>
      <c r="I40" s="151" t="s">
        <v>6</v>
      </c>
      <c r="J40" s="298">
        <f>Ägendom!DR51</f>
        <v>0</v>
      </c>
      <c r="K40" s="151" t="s">
        <v>652</v>
      </c>
      <c r="L40" s="329"/>
      <c r="M40" s="321"/>
    </row>
    <row r="41" spans="1:29" s="8" customFormat="1" ht="20.399999999999999" x14ac:dyDescent="0.35">
      <c r="A41" s="681"/>
      <c r="B41" s="352"/>
      <c r="C41" s="340" t="s">
        <v>196</v>
      </c>
      <c r="D41" s="341"/>
      <c r="E41" s="324"/>
      <c r="F41" s="342">
        <f>SUM(F37:F40)</f>
        <v>0</v>
      </c>
      <c r="G41" s="151" t="s">
        <v>14</v>
      </c>
      <c r="H41" s="348">
        <f t="shared" ref="H41:J41" si="3">SUM(H37:H40)</f>
        <v>0</v>
      </c>
      <c r="I41" s="151" t="s">
        <v>6</v>
      </c>
      <c r="J41" s="342">
        <f t="shared" si="3"/>
        <v>0</v>
      </c>
      <c r="K41" s="151" t="s">
        <v>652</v>
      </c>
      <c r="L41" s="343"/>
      <c r="M41" s="321"/>
    </row>
    <row r="42" spans="1:29" s="8" customFormat="1" ht="21" x14ac:dyDescent="0.4">
      <c r="A42" s="681"/>
      <c r="B42" s="350"/>
      <c r="C42" s="846"/>
      <c r="D42" s="845"/>
      <c r="E42" s="324"/>
      <c r="F42" s="338"/>
      <c r="G42" s="151"/>
      <c r="H42" s="339"/>
      <c r="I42" s="151"/>
      <c r="J42" s="298"/>
      <c r="K42" s="151"/>
      <c r="L42" s="329"/>
      <c r="M42" s="321"/>
      <c r="AB42"/>
      <c r="AC42"/>
    </row>
    <row r="43" spans="1:29" s="8" customFormat="1" ht="43.05" customHeight="1" x14ac:dyDescent="0.3">
      <c r="A43" s="681"/>
      <c r="B43" s="947" t="s">
        <v>151</v>
      </c>
      <c r="C43" s="948"/>
      <c r="D43" s="948"/>
      <c r="E43" s="324"/>
      <c r="F43" s="338"/>
      <c r="G43" s="151"/>
      <c r="H43" s="339"/>
      <c r="I43" s="151"/>
      <c r="J43" s="298"/>
      <c r="K43" s="151"/>
      <c r="L43" s="329"/>
      <c r="M43" s="321"/>
    </row>
    <row r="44" spans="1:29" ht="21" x14ac:dyDescent="0.4">
      <c r="B44" s="350"/>
      <c r="C44" s="846" t="s">
        <v>264</v>
      </c>
      <c r="D44" s="845"/>
      <c r="E44" s="324"/>
      <c r="F44" s="338">
        <f>IF('Gårdens info'!$D$36&gt;0,J44/'Gårdens info'!$D$36,0)</f>
        <v>0</v>
      </c>
      <c r="G44" s="151" t="s">
        <v>14</v>
      </c>
      <c r="H44" s="339">
        <f>IF('Gårdens info'!G36&gt;0,F44/'Gårdens info'!$G$22,0)</f>
        <v>0</v>
      </c>
      <c r="I44" s="151" t="s">
        <v>6</v>
      </c>
      <c r="J44" s="298">
        <f>Ägendom!BD76</f>
        <v>0</v>
      </c>
      <c r="K44" s="151" t="s">
        <v>652</v>
      </c>
      <c r="L44" s="329"/>
      <c r="M44" s="321"/>
      <c r="N44" s="8"/>
      <c r="O44" s="8"/>
      <c r="P44" s="8"/>
      <c r="Q44" s="8"/>
      <c r="R44" s="8"/>
      <c r="S44" s="8"/>
      <c r="T44" s="8"/>
      <c r="U44" s="8"/>
      <c r="AB44" s="8"/>
      <c r="AC44" s="8"/>
    </row>
    <row r="45" spans="1:29" s="8" customFormat="1" ht="21" x14ac:dyDescent="0.4">
      <c r="A45" s="681"/>
      <c r="B45" s="350"/>
      <c r="C45" s="846" t="s">
        <v>265</v>
      </c>
      <c r="D45" s="845"/>
      <c r="E45" s="324"/>
      <c r="F45" s="338">
        <f>IF('Gårdens info'!$D$36&gt;0,J45/'Gårdens info'!$D$36,0)</f>
        <v>0</v>
      </c>
      <c r="G45" s="151" t="s">
        <v>14</v>
      </c>
      <c r="H45" s="339">
        <f>IF('Gårdens info'!G36&gt;0,F45/'Gårdens info'!$G$22,0)</f>
        <v>0</v>
      </c>
      <c r="I45" s="151" t="s">
        <v>6</v>
      </c>
      <c r="J45" s="298">
        <f>Ägendom!BZ76</f>
        <v>0</v>
      </c>
      <c r="K45" s="151" t="s">
        <v>652</v>
      </c>
      <c r="L45" s="329"/>
      <c r="M45" s="321"/>
    </row>
    <row r="46" spans="1:29" s="8" customFormat="1" ht="17.399999999999999" customHeight="1" x14ac:dyDescent="0.3">
      <c r="A46" s="681"/>
      <c r="B46" s="350"/>
      <c r="C46" s="941" t="s">
        <v>266</v>
      </c>
      <c r="D46" s="941"/>
      <c r="E46" s="324"/>
      <c r="F46" s="338">
        <f>IF('Gårdens info'!$D$36&gt;0,J46/'Gårdens info'!$D$36,0)</f>
        <v>0</v>
      </c>
      <c r="G46" s="151" t="s">
        <v>14</v>
      </c>
      <c r="H46" s="339">
        <f>IF('Gårdens info'!G36&gt;0,F46/'Gårdens info'!$G$22,0)</f>
        <v>0</v>
      </c>
      <c r="I46" s="151" t="s">
        <v>6</v>
      </c>
      <c r="J46" s="298">
        <f>Ägendom!CV76</f>
        <v>0</v>
      </c>
      <c r="K46" s="151" t="s">
        <v>652</v>
      </c>
      <c r="L46" s="329"/>
      <c r="M46" s="321"/>
      <c r="N46"/>
      <c r="O46"/>
      <c r="P46"/>
      <c r="Q46"/>
      <c r="R46"/>
      <c r="S46"/>
      <c r="T46"/>
      <c r="U46"/>
    </row>
    <row r="47" spans="1:29" s="8" customFormat="1" ht="21" x14ac:dyDescent="0.4">
      <c r="A47" s="681"/>
      <c r="B47" s="350"/>
      <c r="C47" s="846" t="s">
        <v>399</v>
      </c>
      <c r="D47" s="845"/>
      <c r="E47" s="324"/>
      <c r="F47" s="338">
        <f>IF('Gårdens info'!$D$36&gt;0,J47/'Gårdens info'!$D$36,0)</f>
        <v>0</v>
      </c>
      <c r="G47" s="151" t="s">
        <v>14</v>
      </c>
      <c r="H47" s="339">
        <f>IF('Gårdens info'!G36&gt;0,F47/'Gårdens info'!$G$22,0)</f>
        <v>0</v>
      </c>
      <c r="I47" s="151" t="s">
        <v>6</v>
      </c>
      <c r="J47" s="298">
        <f>Ägendom!DR76</f>
        <v>0</v>
      </c>
      <c r="K47" s="151" t="s">
        <v>652</v>
      </c>
      <c r="L47" s="329"/>
      <c r="M47" s="321"/>
    </row>
    <row r="48" spans="1:29" s="8" customFormat="1" ht="20.399999999999999" x14ac:dyDescent="0.35">
      <c r="A48" s="681"/>
      <c r="B48" s="352"/>
      <c r="C48" s="340" t="s">
        <v>196</v>
      </c>
      <c r="D48" s="341"/>
      <c r="E48" s="324"/>
      <c r="F48" s="342">
        <f>SUM(F44:F47)</f>
        <v>0</v>
      </c>
      <c r="G48" s="151" t="s">
        <v>14</v>
      </c>
      <c r="H48" s="348">
        <f t="shared" ref="H48:J48" si="4">SUM(H44:H47)</f>
        <v>0</v>
      </c>
      <c r="I48" s="151" t="s">
        <v>6</v>
      </c>
      <c r="J48" s="342">
        <f t="shared" si="4"/>
        <v>0</v>
      </c>
      <c r="K48" s="151" t="s">
        <v>652</v>
      </c>
      <c r="L48" s="343"/>
      <c r="M48" s="321"/>
    </row>
    <row r="49" spans="1:29" s="8" customFormat="1" ht="21" x14ac:dyDescent="0.4">
      <c r="A49" s="681"/>
      <c r="B49" s="350"/>
      <c r="C49" s="846"/>
      <c r="D49" s="845"/>
      <c r="E49" s="324"/>
      <c r="F49" s="338"/>
      <c r="G49" s="151"/>
      <c r="H49" s="339"/>
      <c r="I49" s="151"/>
      <c r="J49" s="298"/>
      <c r="K49" s="151"/>
      <c r="L49" s="329"/>
      <c r="M49" s="321"/>
    </row>
    <row r="50" spans="1:29" s="8" customFormat="1" ht="21" customHeight="1" x14ac:dyDescent="0.4">
      <c r="A50" s="681"/>
      <c r="B50" s="951" t="s">
        <v>160</v>
      </c>
      <c r="C50" s="952"/>
      <c r="D50" s="845"/>
      <c r="E50" s="324"/>
      <c r="F50" s="338"/>
      <c r="G50" s="151"/>
      <c r="H50" s="339"/>
      <c r="I50" s="151"/>
      <c r="J50" s="298"/>
      <c r="K50" s="151"/>
      <c r="L50" s="329"/>
      <c r="M50" s="321"/>
    </row>
    <row r="51" spans="1:29" s="8" customFormat="1" ht="21" x14ac:dyDescent="0.4">
      <c r="A51" s="681"/>
      <c r="B51" s="350"/>
      <c r="C51" s="846" t="s">
        <v>264</v>
      </c>
      <c r="D51" s="845"/>
      <c r="E51" s="324"/>
      <c r="F51" s="338">
        <f>IF('Gårdens info'!$D$36&gt;0,J51/'Gårdens info'!$D$36,0)</f>
        <v>0</v>
      </c>
      <c r="G51" s="151" t="s">
        <v>14</v>
      </c>
      <c r="H51" s="339">
        <f>IF('Gårdens info'!G36&gt;0,F51/'Gårdens info'!$G$22,0)</f>
        <v>0</v>
      </c>
      <c r="I51" s="151" t="s">
        <v>6</v>
      </c>
      <c r="J51" s="298">
        <f>Ägendom!BD79</f>
        <v>0</v>
      </c>
      <c r="K51" s="151" t="s">
        <v>652</v>
      </c>
      <c r="L51" s="329"/>
      <c r="M51" s="321"/>
    </row>
    <row r="52" spans="1:29" s="8" customFormat="1" ht="19.95" customHeight="1" x14ac:dyDescent="0.4">
      <c r="A52" s="681"/>
      <c r="B52" s="350"/>
      <c r="C52" s="846" t="s">
        <v>265</v>
      </c>
      <c r="D52" s="845"/>
      <c r="E52" s="324"/>
      <c r="F52" s="338">
        <f>IF('Gårdens info'!$D$36&gt;0,J52/'Gårdens info'!$D$36,0)</f>
        <v>0</v>
      </c>
      <c r="G52" s="151" t="s">
        <v>14</v>
      </c>
      <c r="H52" s="339">
        <f>IF('Gårdens info'!G36&gt;0,F52/'Gårdens info'!$G$22,0)</f>
        <v>0</v>
      </c>
      <c r="I52" s="151" t="s">
        <v>6</v>
      </c>
      <c r="J52" s="298">
        <f>Ägendom!BZ79</f>
        <v>0</v>
      </c>
      <c r="K52" s="151" t="s">
        <v>652</v>
      </c>
      <c r="L52" s="329"/>
      <c r="M52" s="321"/>
    </row>
    <row r="53" spans="1:29" s="8" customFormat="1" ht="17.399999999999999" customHeight="1" x14ac:dyDescent="0.3">
      <c r="A53" s="681"/>
      <c r="B53" s="350"/>
      <c r="C53" s="941" t="s">
        <v>266</v>
      </c>
      <c r="D53" s="941"/>
      <c r="E53" s="324"/>
      <c r="F53" s="338">
        <f>IF('Gårdens info'!$D$36&gt;0,J53/'Gårdens info'!$D$36,0)</f>
        <v>0</v>
      </c>
      <c r="G53" s="151" t="s">
        <v>14</v>
      </c>
      <c r="H53" s="339">
        <f>IF('Gårdens info'!G36&gt;0,F53/'Gårdens info'!$G$22,0)</f>
        <v>0</v>
      </c>
      <c r="I53" s="151" t="s">
        <v>6</v>
      </c>
      <c r="J53" s="298">
        <f>Ägendom!CV79</f>
        <v>0</v>
      </c>
      <c r="K53" s="151" t="s">
        <v>652</v>
      </c>
      <c r="L53" s="329"/>
      <c r="M53" s="321"/>
    </row>
    <row r="54" spans="1:29" s="8" customFormat="1" ht="15.6" x14ac:dyDescent="0.3">
      <c r="A54" s="681"/>
      <c r="B54" s="349"/>
      <c r="C54" s="323" t="s">
        <v>196</v>
      </c>
      <c r="D54" s="323"/>
      <c r="E54" s="323"/>
      <c r="F54" s="342">
        <f>SUM(F51:F53)</f>
        <v>0</v>
      </c>
      <c r="G54" s="151" t="s">
        <v>14</v>
      </c>
      <c r="H54" s="348">
        <f t="shared" ref="H54:J54" si="5">SUM(H51:H53)</f>
        <v>0</v>
      </c>
      <c r="I54" s="151" t="s">
        <v>6</v>
      </c>
      <c r="J54" s="342">
        <f t="shared" si="5"/>
        <v>0</v>
      </c>
      <c r="K54" s="151" t="s">
        <v>652</v>
      </c>
      <c r="L54" s="347"/>
      <c r="M54" s="353"/>
    </row>
    <row r="55" spans="1:29" s="8" customFormat="1" ht="21" customHeight="1" x14ac:dyDescent="0.4">
      <c r="A55" s="681"/>
      <c r="B55" s="932" t="s">
        <v>229</v>
      </c>
      <c r="C55" s="933"/>
      <c r="D55" s="933"/>
      <c r="E55" s="324"/>
      <c r="F55" s="328">
        <f>F34+F41+F48+F54</f>
        <v>0</v>
      </c>
      <c r="G55" s="329" t="s">
        <v>14</v>
      </c>
      <c r="H55" s="330">
        <f>H34+H41+H48+H54</f>
        <v>0</v>
      </c>
      <c r="I55" s="329" t="s">
        <v>6</v>
      </c>
      <c r="J55" s="331">
        <f>J34+J41+J48+J54</f>
        <v>0</v>
      </c>
      <c r="K55" s="329" t="s">
        <v>652</v>
      </c>
      <c r="L55" s="329"/>
      <c r="M55" s="321"/>
    </row>
    <row r="56" spans="1:29" s="8" customFormat="1" ht="15.6" x14ac:dyDescent="0.3">
      <c r="A56" s="681"/>
      <c r="B56" s="349"/>
      <c r="C56" s="324"/>
      <c r="D56" s="324"/>
      <c r="E56" s="324"/>
      <c r="F56" s="325"/>
      <c r="G56" s="304"/>
      <c r="H56" s="326"/>
      <c r="I56" s="304"/>
      <c r="J56" s="320"/>
      <c r="K56" s="304"/>
      <c r="L56" s="327"/>
      <c r="M56" s="321"/>
    </row>
    <row r="57" spans="1:29" s="8" customFormat="1" ht="21" x14ac:dyDescent="0.4">
      <c r="A57" s="681"/>
      <c r="B57" s="319" t="s">
        <v>230</v>
      </c>
      <c r="C57" s="324"/>
      <c r="D57" s="324"/>
      <c r="E57" s="324"/>
      <c r="F57" s="325"/>
      <c r="G57" s="304"/>
      <c r="H57" s="326"/>
      <c r="I57" s="304"/>
      <c r="J57" s="320"/>
      <c r="K57" s="304"/>
      <c r="L57" s="327"/>
      <c r="M57" s="321"/>
    </row>
    <row r="58" spans="1:29" s="8" customFormat="1" ht="15" x14ac:dyDescent="0.25">
      <c r="A58" s="681"/>
      <c r="B58" s="296"/>
      <c r="C58" s="289" t="s">
        <v>230</v>
      </c>
      <c r="D58" s="297"/>
      <c r="E58" s="297"/>
      <c r="F58" s="298">
        <f>IF('Gårdens info'!D36&gt;0,H130,0)</f>
        <v>0</v>
      </c>
      <c r="G58" s="151" t="s">
        <v>14</v>
      </c>
      <c r="H58" s="299">
        <f>IF('Gårdens info'!G36&gt;0,F58/'Gårdens info'!$G$22,0)</f>
        <v>0</v>
      </c>
      <c r="I58" s="151" t="s">
        <v>6</v>
      </c>
      <c r="J58" s="298">
        <f>F58*'Gårdens info'!$D$36</f>
        <v>0</v>
      </c>
      <c r="K58" s="151" t="s">
        <v>652</v>
      </c>
      <c r="L58" s="297"/>
      <c r="M58" s="300"/>
    </row>
    <row r="59" spans="1:29" s="8" customFormat="1" ht="17.399999999999999" x14ac:dyDescent="0.3">
      <c r="A59" s="681"/>
      <c r="B59" s="850"/>
      <c r="C59" s="306"/>
      <c r="D59" s="310"/>
      <c r="E59" s="310"/>
      <c r="F59" s="311"/>
      <c r="G59" s="153"/>
      <c r="H59" s="310"/>
      <c r="I59" s="310"/>
      <c r="J59" s="310"/>
      <c r="K59" s="310"/>
      <c r="L59" s="310"/>
      <c r="M59" s="295"/>
    </row>
    <row r="60" spans="1:29" s="8" customFormat="1" ht="21" customHeight="1" x14ac:dyDescent="0.4">
      <c r="A60" s="681"/>
      <c r="B60" s="932" t="s">
        <v>230</v>
      </c>
      <c r="C60" s="933"/>
      <c r="D60" s="933"/>
      <c r="E60" s="324"/>
      <c r="F60" s="328">
        <f>F58</f>
        <v>0</v>
      </c>
      <c r="G60" s="329" t="s">
        <v>14</v>
      </c>
      <c r="H60" s="330">
        <f>H58</f>
        <v>0</v>
      </c>
      <c r="I60" s="329" t="s">
        <v>6</v>
      </c>
      <c r="J60" s="331">
        <f>J58</f>
        <v>0</v>
      </c>
      <c r="K60" s="329" t="s">
        <v>652</v>
      </c>
      <c r="L60" s="329"/>
      <c r="M60" s="321"/>
    </row>
    <row r="61" spans="1:29" s="8" customFormat="1" ht="21" x14ac:dyDescent="0.4">
      <c r="A61" s="681"/>
      <c r="B61" s="844"/>
      <c r="C61" s="845"/>
      <c r="D61" s="845"/>
      <c r="E61" s="324"/>
      <c r="F61" s="328"/>
      <c r="G61" s="329"/>
      <c r="H61" s="330"/>
      <c r="I61" s="329"/>
      <c r="J61" s="331"/>
      <c r="K61" s="329"/>
      <c r="L61" s="329"/>
      <c r="M61" s="321"/>
    </row>
    <row r="62" spans="1:29" s="8" customFormat="1" ht="21" customHeight="1" x14ac:dyDescent="0.4">
      <c r="A62" s="681"/>
      <c r="B62" s="932" t="s">
        <v>616</v>
      </c>
      <c r="C62" s="933"/>
      <c r="D62" s="933"/>
      <c r="E62" s="324"/>
      <c r="F62" s="328">
        <f>F26+F55+F60</f>
        <v>0</v>
      </c>
      <c r="G62" s="329" t="s">
        <v>14</v>
      </c>
      <c r="H62" s="705">
        <f>H26+H55+H60</f>
        <v>0</v>
      </c>
      <c r="I62" s="329" t="s">
        <v>6</v>
      </c>
      <c r="J62" s="328">
        <f>J26+J55+J60</f>
        <v>0</v>
      </c>
      <c r="K62" s="329" t="s">
        <v>652</v>
      </c>
      <c r="L62" s="329"/>
      <c r="M62" s="321"/>
    </row>
    <row r="63" spans="1:29" s="8" customFormat="1" ht="21" x14ac:dyDescent="0.4">
      <c r="A63" s="681"/>
      <c r="B63" s="844"/>
      <c r="C63" s="845"/>
      <c r="D63" s="845"/>
      <c r="E63" s="324"/>
      <c r="F63" s="328"/>
      <c r="G63" s="329"/>
      <c r="H63" s="330"/>
      <c r="I63" s="329"/>
      <c r="J63" s="331"/>
      <c r="K63" s="329"/>
      <c r="L63" s="329"/>
      <c r="M63" s="321"/>
    </row>
    <row r="64" spans="1:29" s="8" customFormat="1" ht="21.6" customHeight="1" thickBot="1" x14ac:dyDescent="0.45">
      <c r="A64" s="681"/>
      <c r="B64" s="936" t="s">
        <v>269</v>
      </c>
      <c r="C64" s="937"/>
      <c r="D64" s="937"/>
      <c r="E64" s="315"/>
      <c r="F64" s="355">
        <f>F11-F26-F55-F60</f>
        <v>0</v>
      </c>
      <c r="G64" s="356" t="s">
        <v>14</v>
      </c>
      <c r="H64" s="357">
        <f>H11-H26-H55-H60</f>
        <v>0</v>
      </c>
      <c r="I64" s="356" t="s">
        <v>6</v>
      </c>
      <c r="J64" s="355">
        <f>J11-J26-J55-J60</f>
        <v>0</v>
      </c>
      <c r="K64" s="356" t="s">
        <v>652</v>
      </c>
      <c r="L64" s="356"/>
      <c r="M64" s="316"/>
      <c r="AB64" s="239"/>
      <c r="AC64" s="239"/>
    </row>
    <row r="65" spans="1:29" s="8" customFormat="1" ht="21" x14ac:dyDescent="0.4">
      <c r="A65" s="681"/>
      <c r="B65" s="76"/>
      <c r="C65"/>
      <c r="D65"/>
      <c r="E65"/>
      <c r="F65"/>
      <c r="G65"/>
      <c r="H65"/>
      <c r="I65"/>
      <c r="J65"/>
      <c r="K65"/>
      <c r="L65"/>
      <c r="M65"/>
    </row>
    <row r="66" spans="1:29" s="239" customFormat="1" ht="16.2" thickBot="1" x14ac:dyDescent="0.35">
      <c r="A66" s="685"/>
      <c r="B66"/>
      <c r="C66"/>
      <c r="D66"/>
      <c r="E66"/>
      <c r="F66"/>
      <c r="G66"/>
      <c r="H66"/>
      <c r="I66"/>
      <c r="J66"/>
      <c r="K66"/>
      <c r="L66"/>
      <c r="M66"/>
      <c r="N66" s="8"/>
      <c r="O66" s="8"/>
      <c r="P66" s="8"/>
      <c r="Q66" s="8"/>
      <c r="R66" s="8"/>
      <c r="S66" s="8"/>
      <c r="T66" s="8"/>
      <c r="U66" s="8"/>
      <c r="AB66" s="8"/>
      <c r="AC66" s="8"/>
    </row>
    <row r="67" spans="1:29" s="8" customFormat="1" ht="21.6" thickBot="1" x14ac:dyDescent="0.45">
      <c r="A67" s="681"/>
      <c r="B67" s="953" t="s">
        <v>270</v>
      </c>
      <c r="C67" s="954"/>
      <c r="D67" s="954"/>
      <c r="E67" s="955"/>
      <c r="F67"/>
      <c r="G67"/>
      <c r="H67"/>
      <c r="I67"/>
      <c r="J67"/>
      <c r="K67"/>
      <c r="L67" s="956" t="s">
        <v>271</v>
      </c>
      <c r="M67" s="956"/>
      <c r="AB67"/>
      <c r="AC67"/>
    </row>
    <row r="68" spans="1:29" s="8" customFormat="1" ht="21" x14ac:dyDescent="0.4">
      <c r="A68" s="681"/>
      <c r="B68" s="470"/>
      <c r="C68" s="470"/>
      <c r="D68" s="470"/>
      <c r="E68" s="470"/>
      <c r="F68" s="534"/>
      <c r="G68" s="534"/>
      <c r="H68" s="534"/>
      <c r="I68" s="534"/>
      <c r="J68" s="534"/>
      <c r="K68" s="534"/>
      <c r="L68" s="565"/>
      <c r="M68" s="565"/>
      <c r="AB68"/>
      <c r="AC68"/>
    </row>
    <row r="69" spans="1:29" ht="15.6" x14ac:dyDescent="0.3">
      <c r="B69" s="113" t="s">
        <v>243</v>
      </c>
      <c r="C69" s="65"/>
      <c r="D69" s="65"/>
      <c r="E69" s="65"/>
      <c r="F69" s="959" t="s">
        <v>159</v>
      </c>
      <c r="G69" s="959"/>
      <c r="H69" s="959" t="s">
        <v>158</v>
      </c>
      <c r="I69" s="959"/>
      <c r="J69" s="959" t="s">
        <v>324</v>
      </c>
      <c r="K69" s="959"/>
      <c r="L69" s="143"/>
      <c r="M69" s="67"/>
    </row>
    <row r="70" spans="1:29" ht="13.8" thickBot="1" x14ac:dyDescent="0.3">
      <c r="B70" s="69"/>
      <c r="C70" s="65"/>
      <c r="D70" s="65"/>
      <c r="E70" s="65"/>
      <c r="F70" s="65"/>
      <c r="G70" s="65"/>
      <c r="H70" s="65"/>
      <c r="I70" s="65"/>
      <c r="J70" s="67"/>
      <c r="K70" s="67"/>
      <c r="L70" s="67"/>
      <c r="M70" s="67"/>
    </row>
    <row r="71" spans="1:29" ht="13.8" thickBot="1" x14ac:dyDescent="0.3">
      <c r="B71" s="69"/>
      <c r="C71" s="65" t="s">
        <v>73</v>
      </c>
      <c r="D71" s="65"/>
      <c r="E71" s="65"/>
      <c r="F71" s="96">
        <v>20</v>
      </c>
      <c r="G71" s="65" t="s">
        <v>1</v>
      </c>
      <c r="H71" s="96">
        <v>2.95</v>
      </c>
      <c r="I71" s="70" t="s">
        <v>6</v>
      </c>
      <c r="J71" s="235">
        <f>F71*H71</f>
        <v>59</v>
      </c>
      <c r="K71" s="65" t="s">
        <v>14</v>
      </c>
      <c r="L71" s="67"/>
      <c r="M71" s="67"/>
      <c r="AB71" s="8"/>
      <c r="AC71" s="8"/>
    </row>
    <row r="72" spans="1:29" ht="13.8" thickBot="1" x14ac:dyDescent="0.3">
      <c r="B72" s="65"/>
      <c r="C72" s="66" t="s">
        <v>405</v>
      </c>
      <c r="D72" s="67"/>
      <c r="E72" s="65"/>
      <c r="F72" s="96"/>
      <c r="G72" s="65" t="s">
        <v>1</v>
      </c>
      <c r="H72" s="96"/>
      <c r="I72" s="70" t="s">
        <v>6</v>
      </c>
      <c r="J72" s="235">
        <f>F72*H72</f>
        <v>0</v>
      </c>
      <c r="K72" s="65" t="s">
        <v>14</v>
      </c>
      <c r="L72" s="65"/>
      <c r="M72" s="67"/>
    </row>
    <row r="73" spans="1:29" s="8" customFormat="1" x14ac:dyDescent="0.25">
      <c r="A73" s="681"/>
      <c r="B73" s="71"/>
      <c r="C73" s="71" t="s">
        <v>196</v>
      </c>
      <c r="D73" s="572"/>
      <c r="E73" s="71"/>
      <c r="F73" s="277"/>
      <c r="G73" s="573"/>
      <c r="H73" s="574"/>
      <c r="I73" s="279"/>
      <c r="J73" s="280"/>
      <c r="K73" s="71"/>
      <c r="L73" s="71"/>
      <c r="M73" s="71"/>
    </row>
    <row r="74" spans="1:29" ht="17.399999999999999" x14ac:dyDescent="0.3">
      <c r="B74" s="535"/>
      <c r="C74" s="535"/>
      <c r="D74" s="569"/>
      <c r="E74" s="535"/>
      <c r="F74" s="570"/>
      <c r="G74" s="535"/>
      <c r="H74" s="307"/>
      <c r="I74" s="537"/>
      <c r="J74" s="571"/>
      <c r="K74" s="535"/>
      <c r="L74" s="534"/>
      <c r="M74" s="534"/>
      <c r="AB74" s="77"/>
      <c r="AC74" s="77"/>
    </row>
    <row r="75" spans="1:29" s="8" customFormat="1" ht="17.399999999999999" x14ac:dyDescent="0.3">
      <c r="A75" s="681"/>
      <c r="B75" s="120" t="s">
        <v>275</v>
      </c>
      <c r="C75" s="121"/>
      <c r="D75" s="121"/>
      <c r="E75" s="121"/>
      <c r="F75" s="960" t="s">
        <v>159</v>
      </c>
      <c r="G75" s="960"/>
      <c r="H75" s="960" t="s">
        <v>158</v>
      </c>
      <c r="I75" s="960"/>
      <c r="J75" s="960" t="s">
        <v>324</v>
      </c>
      <c r="K75" s="960"/>
      <c r="L75" s="123"/>
      <c r="M75" s="123"/>
      <c r="AB75" s="77"/>
      <c r="AC75" s="77"/>
    </row>
    <row r="76" spans="1:29" s="77" customFormat="1" ht="18" thickBot="1" x14ac:dyDescent="0.35">
      <c r="A76" s="683"/>
      <c r="B76" s="121"/>
      <c r="C76" s="121"/>
      <c r="D76" s="121"/>
      <c r="E76" s="121"/>
      <c r="F76" s="121"/>
      <c r="G76" s="121"/>
      <c r="H76" s="122"/>
      <c r="I76" s="122"/>
      <c r="J76" s="123"/>
      <c r="K76" s="123"/>
      <c r="L76" s="123"/>
      <c r="M76" s="123"/>
      <c r="N76" s="8"/>
      <c r="O76" s="8"/>
      <c r="P76" s="8"/>
      <c r="Q76" s="8"/>
      <c r="R76" s="8"/>
      <c r="S76" s="8"/>
      <c r="T76" s="8"/>
      <c r="U76" s="8"/>
      <c r="AB76"/>
      <c r="AC76"/>
    </row>
    <row r="77" spans="1:29" s="77" customFormat="1" ht="18" thickBot="1" x14ac:dyDescent="0.35">
      <c r="A77" s="683"/>
      <c r="B77" s="121"/>
      <c r="C77" s="121" t="s">
        <v>76</v>
      </c>
      <c r="D77" s="121"/>
      <c r="E77" s="121"/>
      <c r="F77" s="96">
        <v>250</v>
      </c>
      <c r="G77" s="121" t="s">
        <v>21</v>
      </c>
      <c r="H77" s="99">
        <v>0.41</v>
      </c>
      <c r="I77" s="122" t="s">
        <v>6</v>
      </c>
      <c r="J77" s="124">
        <f t="shared" ref="J77:J78" si="6">F77*H77</f>
        <v>102.5</v>
      </c>
      <c r="K77" s="121" t="s">
        <v>14</v>
      </c>
      <c r="L77" s="123"/>
      <c r="M77" s="123"/>
      <c r="AB77" s="91"/>
      <c r="AC77" s="91"/>
    </row>
    <row r="78" spans="1:29" ht="15.6" thickBot="1" x14ac:dyDescent="0.3">
      <c r="B78" s="121"/>
      <c r="C78" s="121" t="s">
        <v>280</v>
      </c>
      <c r="D78" s="121"/>
      <c r="E78" s="121"/>
      <c r="F78" s="96"/>
      <c r="G78" s="121" t="s">
        <v>21</v>
      </c>
      <c r="H78" s="99"/>
      <c r="I78" s="122" t="s">
        <v>6</v>
      </c>
      <c r="J78" s="124">
        <f t="shared" si="6"/>
        <v>0</v>
      </c>
      <c r="K78" s="121" t="s">
        <v>14</v>
      </c>
      <c r="L78" s="123"/>
      <c r="M78" s="123"/>
      <c r="N78" s="91"/>
      <c r="O78" s="91"/>
      <c r="P78" s="91"/>
      <c r="Q78" s="91"/>
      <c r="R78" s="91"/>
      <c r="S78" s="91"/>
      <c r="T78" s="91"/>
      <c r="U78" s="91"/>
      <c r="AB78" s="8"/>
      <c r="AC78" s="8"/>
    </row>
    <row r="79" spans="1:29" s="91" customFormat="1" ht="17.399999999999999" x14ac:dyDescent="0.3">
      <c r="A79" s="682"/>
      <c r="B79" s="270"/>
      <c r="C79" s="270" t="s">
        <v>196</v>
      </c>
      <c r="D79" s="270"/>
      <c r="E79" s="270"/>
      <c r="F79" s="270"/>
      <c r="G79" s="270"/>
      <c r="H79" s="270"/>
      <c r="I79" s="271"/>
      <c r="J79" s="272">
        <f>SUM(J77:J78)</f>
        <v>102.5</v>
      </c>
      <c r="K79" s="270" t="s">
        <v>14</v>
      </c>
      <c r="L79" s="270"/>
      <c r="M79" s="270"/>
      <c r="N79" s="77"/>
      <c r="O79" s="77"/>
      <c r="P79" s="77"/>
      <c r="Q79" s="77"/>
      <c r="R79" s="77"/>
      <c r="S79" s="77"/>
      <c r="T79" s="77"/>
      <c r="U79" s="77"/>
      <c r="AB79" s="8"/>
      <c r="AC79" s="8"/>
    </row>
    <row r="80" spans="1:29" s="8" customFormat="1" x14ac:dyDescent="0.25">
      <c r="A80" s="681"/>
      <c r="B80" s="121"/>
      <c r="C80" s="121"/>
      <c r="D80" s="121"/>
      <c r="E80" s="121"/>
      <c r="F80" s="121"/>
      <c r="G80" s="121"/>
      <c r="H80" s="121"/>
      <c r="I80" s="122"/>
      <c r="J80" s="124"/>
      <c r="K80" s="121"/>
      <c r="L80" s="123"/>
      <c r="M80" s="123"/>
      <c r="N80"/>
      <c r="O80"/>
      <c r="P80"/>
      <c r="Q80"/>
      <c r="R80"/>
      <c r="S80"/>
      <c r="T80"/>
      <c r="U80"/>
    </row>
    <row r="81" spans="1:29" s="8" customFormat="1" ht="15" x14ac:dyDescent="0.25">
      <c r="A81" s="681"/>
      <c r="B81"/>
      <c r="C81"/>
      <c r="D81"/>
      <c r="E81"/>
      <c r="F81"/>
      <c r="G81"/>
      <c r="H81"/>
      <c r="I81"/>
      <c r="J81"/>
      <c r="K81"/>
      <c r="L81"/>
      <c r="M81"/>
      <c r="N81" s="91"/>
      <c r="O81" s="91"/>
      <c r="P81" s="91"/>
      <c r="Q81" s="91"/>
      <c r="R81" s="91"/>
      <c r="S81" s="91"/>
      <c r="T81" s="91"/>
      <c r="U81" s="91"/>
      <c r="AB81"/>
      <c r="AC81"/>
    </row>
    <row r="82" spans="1:29" s="8" customFormat="1" ht="15.6" x14ac:dyDescent="0.3">
      <c r="A82" s="681"/>
      <c r="B82" s="109" t="s">
        <v>639</v>
      </c>
      <c r="C82" s="72"/>
      <c r="D82" s="72"/>
      <c r="E82" s="72"/>
      <c r="F82" s="957" t="s">
        <v>159</v>
      </c>
      <c r="G82" s="957"/>
      <c r="H82" s="958" t="s">
        <v>158</v>
      </c>
      <c r="I82" s="958"/>
      <c r="J82" s="957" t="s">
        <v>324</v>
      </c>
      <c r="K82" s="957"/>
      <c r="L82" s="79"/>
      <c r="M82" s="79"/>
      <c r="AB82"/>
      <c r="AC82"/>
    </row>
    <row r="83" spans="1:29" x14ac:dyDescent="0.25">
      <c r="B83" s="72"/>
      <c r="C83" s="72"/>
      <c r="D83" s="72"/>
      <c r="E83" s="72"/>
      <c r="F83" s="74"/>
      <c r="G83" s="74"/>
      <c r="H83" s="73"/>
      <c r="I83" s="73"/>
      <c r="J83" s="73"/>
      <c r="K83" s="79"/>
      <c r="L83" s="79"/>
      <c r="M83" s="79"/>
      <c r="N83" s="8"/>
      <c r="O83" s="8"/>
      <c r="P83" s="8"/>
      <c r="Q83" s="8"/>
      <c r="R83" s="8"/>
      <c r="S83" s="8"/>
      <c r="T83" s="8"/>
      <c r="U83" s="8"/>
    </row>
    <row r="84" spans="1:29" ht="15.6" x14ac:dyDescent="0.3">
      <c r="B84" s="109"/>
      <c r="C84" s="72"/>
      <c r="D84" s="462" t="s">
        <v>364</v>
      </c>
      <c r="E84" s="72"/>
      <c r="F84" s="478"/>
      <c r="G84" s="478"/>
      <c r="H84" s="475"/>
      <c r="I84" s="475"/>
      <c r="J84" s="478"/>
      <c r="K84" s="478"/>
      <c r="L84" s="79"/>
      <c r="M84" s="79"/>
    </row>
    <row r="85" spans="1:29" ht="13.8" thickBot="1" x14ac:dyDescent="0.3">
      <c r="B85" s="214" t="s">
        <v>357</v>
      </c>
      <c r="C85" s="72"/>
      <c r="D85" s="72"/>
      <c r="E85" s="72"/>
      <c r="F85" s="74"/>
      <c r="G85" s="74"/>
      <c r="H85" s="73"/>
      <c r="I85" s="73"/>
      <c r="J85" s="79"/>
      <c r="K85" s="79"/>
      <c r="L85" s="79"/>
      <c r="M85" s="79"/>
    </row>
    <row r="86" spans="1:29" ht="13.8" thickBot="1" x14ac:dyDescent="0.3">
      <c r="B86" s="72"/>
      <c r="C86" s="72" t="s">
        <v>326</v>
      </c>
      <c r="D86" s="79"/>
      <c r="E86" s="72"/>
      <c r="F86" s="119"/>
      <c r="G86" s="74" t="s">
        <v>20</v>
      </c>
      <c r="H86" s="99"/>
      <c r="I86" s="73" t="s">
        <v>5</v>
      </c>
      <c r="J86" s="79">
        <f t="shared" ref="J86:J88" si="7">F86*H86</f>
        <v>0</v>
      </c>
      <c r="K86" s="72" t="s">
        <v>14</v>
      </c>
      <c r="L86" s="79"/>
      <c r="M86" s="79"/>
    </row>
    <row r="87" spans="1:29" ht="13.8" thickBot="1" x14ac:dyDescent="0.3">
      <c r="B87" s="72"/>
      <c r="C87" s="72" t="s">
        <v>326</v>
      </c>
      <c r="D87" s="72"/>
      <c r="E87" s="72"/>
      <c r="F87" s="119"/>
      <c r="G87" s="74" t="s">
        <v>20</v>
      </c>
      <c r="H87" s="99"/>
      <c r="I87" s="73" t="s">
        <v>5</v>
      </c>
      <c r="J87" s="79">
        <f t="shared" si="7"/>
        <v>0</v>
      </c>
      <c r="K87" s="72" t="s">
        <v>14</v>
      </c>
      <c r="L87" s="79"/>
      <c r="M87" s="79"/>
    </row>
    <row r="88" spans="1:29" ht="13.8" thickBot="1" x14ac:dyDescent="0.3">
      <c r="B88" s="72"/>
      <c r="C88" s="72" t="s">
        <v>326</v>
      </c>
      <c r="D88" s="72"/>
      <c r="E88" s="72"/>
      <c r="F88" s="119"/>
      <c r="G88" s="74" t="s">
        <v>20</v>
      </c>
      <c r="H88" s="99"/>
      <c r="I88" s="73" t="s">
        <v>5</v>
      </c>
      <c r="J88" s="79">
        <f t="shared" si="7"/>
        <v>0</v>
      </c>
      <c r="K88" s="72" t="s">
        <v>14</v>
      </c>
      <c r="L88" s="79"/>
      <c r="M88" s="79"/>
    </row>
    <row r="89" spans="1:29" x14ac:dyDescent="0.25">
      <c r="B89" s="72"/>
      <c r="C89" s="72"/>
      <c r="D89" s="72"/>
      <c r="E89" s="72"/>
      <c r="F89" s="212"/>
      <c r="G89" s="74"/>
      <c r="H89" s="213"/>
      <c r="I89" s="73"/>
      <c r="J89" s="79"/>
      <c r="K89" s="72"/>
      <c r="L89" s="79"/>
      <c r="M89" s="79"/>
    </row>
    <row r="90" spans="1:29" ht="13.8" thickBot="1" x14ac:dyDescent="0.3">
      <c r="B90" s="214" t="s">
        <v>358</v>
      </c>
      <c r="C90" s="72"/>
      <c r="D90" s="72"/>
      <c r="E90" s="72"/>
      <c r="F90" s="212"/>
      <c r="G90" s="74"/>
      <c r="H90" s="213"/>
      <c r="I90" s="73"/>
      <c r="J90" s="79"/>
      <c r="K90" s="72"/>
      <c r="L90" s="79"/>
      <c r="M90" s="79"/>
    </row>
    <row r="91" spans="1:29" ht="13.8" thickBot="1" x14ac:dyDescent="0.3">
      <c r="B91" s="72"/>
      <c r="C91" s="72" t="s">
        <v>326</v>
      </c>
      <c r="D91" s="72"/>
      <c r="E91" s="72"/>
      <c r="F91" s="119"/>
      <c r="G91" s="74" t="s">
        <v>20</v>
      </c>
      <c r="H91" s="119"/>
      <c r="I91" s="73" t="s">
        <v>5</v>
      </c>
      <c r="J91" s="79">
        <f t="shared" ref="J91:J93" si="8">F91*H91</f>
        <v>0</v>
      </c>
      <c r="K91" s="72" t="s">
        <v>14</v>
      </c>
      <c r="L91" s="79"/>
      <c r="M91" s="79"/>
    </row>
    <row r="92" spans="1:29" ht="13.8" thickBot="1" x14ac:dyDescent="0.3">
      <c r="B92" s="72"/>
      <c r="C92" s="72" t="s">
        <v>326</v>
      </c>
      <c r="D92" s="72"/>
      <c r="E92" s="72"/>
      <c r="F92" s="119"/>
      <c r="G92" s="74" t="s">
        <v>20</v>
      </c>
      <c r="H92" s="119"/>
      <c r="I92" s="73" t="s">
        <v>5</v>
      </c>
      <c r="J92" s="79">
        <f t="shared" si="8"/>
        <v>0</v>
      </c>
      <c r="K92" s="72" t="s">
        <v>14</v>
      </c>
      <c r="L92" s="79"/>
      <c r="M92" s="79"/>
      <c r="AB92" s="8"/>
      <c r="AC92" s="8"/>
    </row>
    <row r="93" spans="1:29" ht="13.8" thickBot="1" x14ac:dyDescent="0.3">
      <c r="B93" s="72"/>
      <c r="C93" s="72" t="s">
        <v>326</v>
      </c>
      <c r="D93" s="72"/>
      <c r="E93" s="72"/>
      <c r="F93" s="119"/>
      <c r="G93" s="74" t="s">
        <v>20</v>
      </c>
      <c r="H93" s="119"/>
      <c r="I93" s="73" t="s">
        <v>5</v>
      </c>
      <c r="J93" s="79">
        <f t="shared" si="8"/>
        <v>0</v>
      </c>
      <c r="K93" s="72" t="s">
        <v>14</v>
      </c>
      <c r="L93" s="79"/>
      <c r="M93" s="79"/>
    </row>
    <row r="94" spans="1:29" s="8" customFormat="1" x14ac:dyDescent="0.25">
      <c r="A94" s="681"/>
      <c r="B94" s="241"/>
      <c r="C94" s="241" t="s">
        <v>196</v>
      </c>
      <c r="D94" s="241"/>
      <c r="E94" s="241"/>
      <c r="F94" s="273"/>
      <c r="G94" s="242"/>
      <c r="H94" s="273"/>
      <c r="I94" s="243"/>
      <c r="J94" s="243">
        <f>SUM(J86:J93)</f>
        <v>0</v>
      </c>
      <c r="K94" s="241" t="s">
        <v>14</v>
      </c>
      <c r="L94" s="241"/>
      <c r="M94" s="241"/>
      <c r="AB94"/>
      <c r="AC94"/>
    </row>
    <row r="95" spans="1:29" x14ac:dyDescent="0.25">
      <c r="B95" s="72"/>
      <c r="C95" s="72"/>
      <c r="D95" s="72"/>
      <c r="E95" s="72"/>
      <c r="F95" s="74"/>
      <c r="G95" s="74"/>
      <c r="H95" s="73"/>
      <c r="I95" s="73"/>
      <c r="J95" s="79"/>
      <c r="K95" s="72"/>
      <c r="L95" s="79"/>
      <c r="M95" s="79"/>
    </row>
    <row r="96" spans="1:29" x14ac:dyDescent="0.25">
      <c r="A96" s="686"/>
      <c r="N96" s="5"/>
      <c r="O96" s="5"/>
    </row>
    <row r="97" spans="1:29" ht="15.6" x14ac:dyDescent="0.3">
      <c r="A97" s="686"/>
      <c r="B97" s="219" t="s">
        <v>293</v>
      </c>
      <c r="C97" s="220"/>
      <c r="D97" s="220"/>
      <c r="E97" s="220"/>
      <c r="F97" s="964" t="s">
        <v>159</v>
      </c>
      <c r="G97" s="964"/>
      <c r="H97" s="964" t="s">
        <v>158</v>
      </c>
      <c r="I97" s="964"/>
      <c r="J97" s="964" t="s">
        <v>324</v>
      </c>
      <c r="K97" s="964"/>
      <c r="L97" s="222"/>
      <c r="M97" s="222"/>
      <c r="N97" s="5"/>
    </row>
    <row r="98" spans="1:29" ht="13.8" thickBot="1" x14ac:dyDescent="0.3">
      <c r="A98" s="686"/>
      <c r="B98" s="220"/>
      <c r="C98" s="220"/>
      <c r="D98" s="220"/>
      <c r="E98" s="220"/>
      <c r="F98" s="220"/>
      <c r="G98" s="220"/>
      <c r="H98" s="221"/>
      <c r="I98" s="221"/>
      <c r="J98" s="222"/>
      <c r="K98" s="222"/>
      <c r="L98" s="222"/>
      <c r="M98" s="222"/>
      <c r="N98" s="5"/>
    </row>
    <row r="99" spans="1:29" ht="13.8" thickBot="1" x14ac:dyDescent="0.3">
      <c r="A99" s="686"/>
      <c r="B99" s="220"/>
      <c r="C99" s="220" t="s">
        <v>632</v>
      </c>
      <c r="D99" s="222"/>
      <c r="E99" s="220"/>
      <c r="F99" s="96"/>
      <c r="G99" s="220" t="s">
        <v>0</v>
      </c>
      <c r="H99" s="99"/>
      <c r="I99" s="221" t="s">
        <v>14</v>
      </c>
      <c r="J99" s="223">
        <f t="shared" ref="J99:J101" si="9">F99*H99</f>
        <v>0</v>
      </c>
      <c r="K99" s="220" t="s">
        <v>14</v>
      </c>
      <c r="L99" s="222"/>
      <c r="M99" s="222"/>
      <c r="N99" s="5"/>
    </row>
    <row r="100" spans="1:29" ht="13.8" thickBot="1" x14ac:dyDescent="0.3">
      <c r="B100" s="220"/>
      <c r="C100" s="220" t="s">
        <v>633</v>
      </c>
      <c r="D100" s="220"/>
      <c r="E100" s="220"/>
      <c r="F100" s="96"/>
      <c r="G100" s="220" t="s">
        <v>0</v>
      </c>
      <c r="H100" s="99"/>
      <c r="I100" s="221" t="s">
        <v>14</v>
      </c>
      <c r="J100" s="223">
        <f t="shared" si="9"/>
        <v>0</v>
      </c>
      <c r="K100" s="220" t="s">
        <v>14</v>
      </c>
      <c r="L100" s="222"/>
      <c r="M100" s="222"/>
      <c r="AB100" s="8"/>
      <c r="AC100" s="8"/>
    </row>
    <row r="101" spans="1:29" ht="13.8" thickBot="1" x14ac:dyDescent="0.3">
      <c r="B101" s="220"/>
      <c r="C101" s="220" t="s">
        <v>294</v>
      </c>
      <c r="D101" s="220"/>
      <c r="E101" s="220"/>
      <c r="F101" s="96"/>
      <c r="G101" s="220" t="s">
        <v>0</v>
      </c>
      <c r="H101" s="99"/>
      <c r="I101" s="221" t="s">
        <v>14</v>
      </c>
      <c r="J101" s="223">
        <f t="shared" si="9"/>
        <v>0</v>
      </c>
      <c r="K101" s="220" t="s">
        <v>14</v>
      </c>
      <c r="L101" s="222"/>
      <c r="M101" s="222"/>
    </row>
    <row r="102" spans="1:29" s="8" customFormat="1" x14ac:dyDescent="0.25">
      <c r="A102" s="681"/>
      <c r="B102" s="220"/>
      <c r="C102" s="220" t="s">
        <v>294</v>
      </c>
      <c r="D102" s="255"/>
      <c r="E102" s="255"/>
      <c r="F102" s="256"/>
      <c r="G102" s="255"/>
      <c r="H102" s="257"/>
      <c r="I102" s="258"/>
      <c r="J102" s="259">
        <f>SUM(J99:J101)</f>
        <v>0</v>
      </c>
      <c r="K102" s="255" t="s">
        <v>14</v>
      </c>
      <c r="L102" s="255"/>
      <c r="M102" s="255"/>
      <c r="N102"/>
      <c r="O102"/>
      <c r="P102"/>
      <c r="Q102"/>
      <c r="R102"/>
      <c r="S102"/>
      <c r="T102"/>
      <c r="U102"/>
      <c r="AB102"/>
      <c r="AC102"/>
    </row>
    <row r="103" spans="1:29" x14ac:dyDescent="0.25">
      <c r="B103" s="255"/>
      <c r="C103" s="255" t="s">
        <v>196</v>
      </c>
      <c r="D103" s="220"/>
      <c r="E103" s="220"/>
      <c r="F103" s="220"/>
      <c r="G103" s="220"/>
      <c r="H103" s="221"/>
      <c r="I103" s="221"/>
      <c r="J103" s="223"/>
      <c r="K103" s="220"/>
      <c r="L103" s="222"/>
      <c r="M103" s="222"/>
    </row>
    <row r="104" spans="1:29" ht="30" customHeight="1" x14ac:dyDescent="0.25">
      <c r="B104" s="220"/>
      <c r="C104" s="220"/>
      <c r="N104" s="8"/>
      <c r="O104" s="8"/>
      <c r="P104" s="8"/>
      <c r="Q104" s="8"/>
      <c r="R104" s="8"/>
      <c r="S104" s="8"/>
      <c r="T104" s="8"/>
      <c r="U104" s="8"/>
    </row>
    <row r="105" spans="1:29" x14ac:dyDescent="0.25">
      <c r="D105" s="226"/>
      <c r="E105" s="227"/>
      <c r="F105" s="226" t="s">
        <v>159</v>
      </c>
      <c r="G105" s="228"/>
      <c r="H105" s="228" t="s">
        <v>158</v>
      </c>
      <c r="I105" s="226"/>
      <c r="J105" s="226" t="s">
        <v>324</v>
      </c>
      <c r="K105" s="229"/>
      <c r="L105" s="229"/>
      <c r="M105" s="229"/>
    </row>
    <row r="106" spans="1:29" ht="16.2" thickBot="1" x14ac:dyDescent="0.35">
      <c r="B106" s="225" t="s">
        <v>637</v>
      </c>
      <c r="C106" s="226"/>
      <c r="D106" s="226"/>
      <c r="E106" s="227"/>
      <c r="F106" s="226"/>
      <c r="G106" s="228"/>
      <c r="H106" s="228"/>
      <c r="I106" s="226"/>
      <c r="J106" s="226"/>
      <c r="K106" s="229"/>
      <c r="L106" s="229"/>
      <c r="M106" s="229"/>
    </row>
    <row r="107" spans="1:29" ht="16.2" thickBot="1" x14ac:dyDescent="0.35">
      <c r="B107" s="225"/>
      <c r="C107" s="226"/>
      <c r="D107" s="229"/>
      <c r="E107" s="230"/>
      <c r="F107" s="96"/>
      <c r="G107" s="231" t="s">
        <v>18</v>
      </c>
      <c r="H107" s="96"/>
      <c r="I107" s="232" t="s">
        <v>10</v>
      </c>
      <c r="J107" s="229">
        <f>H107*F107</f>
        <v>0</v>
      </c>
      <c r="K107" s="232" t="s">
        <v>14</v>
      </c>
      <c r="L107" s="229"/>
      <c r="M107" s="229"/>
    </row>
    <row r="108" spans="1:29" ht="13.8" thickBot="1" x14ac:dyDescent="0.3">
      <c r="B108" s="226"/>
      <c r="C108" s="226" t="s">
        <v>296</v>
      </c>
      <c r="D108" s="232">
        <f>F130/2</f>
        <v>4.5</v>
      </c>
      <c r="E108" s="226" t="s">
        <v>9</v>
      </c>
      <c r="F108" s="96">
        <f>+D108*8</f>
        <v>36</v>
      </c>
      <c r="G108" s="228" t="s">
        <v>20</v>
      </c>
      <c r="H108" s="96">
        <v>0.83</v>
      </c>
      <c r="I108" s="232" t="s">
        <v>5</v>
      </c>
      <c r="J108" s="229">
        <f>H108*F108</f>
        <v>29.88</v>
      </c>
      <c r="K108" s="232" t="s">
        <v>14</v>
      </c>
      <c r="L108" s="229"/>
      <c r="M108" s="229"/>
    </row>
    <row r="109" spans="1:29" ht="13.8" thickBot="1" x14ac:dyDescent="0.3">
      <c r="B109" s="226"/>
      <c r="C109" s="226" t="s">
        <v>450</v>
      </c>
      <c r="D109" s="232">
        <f>D108</f>
        <v>4.5</v>
      </c>
      <c r="E109" s="226" t="s">
        <v>9</v>
      </c>
      <c r="F109" s="96">
        <v>11.88</v>
      </c>
      <c r="G109" s="228" t="s">
        <v>21</v>
      </c>
      <c r="H109" s="96">
        <v>4</v>
      </c>
      <c r="I109" s="232" t="s">
        <v>6</v>
      </c>
      <c r="J109" s="229">
        <f t="shared" ref="J109:J113" si="10">H109*F109</f>
        <v>47.52</v>
      </c>
      <c r="K109" s="232" t="s">
        <v>14</v>
      </c>
      <c r="L109" s="229"/>
      <c r="M109" s="229"/>
    </row>
    <row r="110" spans="1:29" ht="13.8" thickBot="1" x14ac:dyDescent="0.3">
      <c r="B110" s="226"/>
      <c r="C110" s="226" t="s">
        <v>298</v>
      </c>
      <c r="D110" s="229"/>
      <c r="E110" s="232"/>
      <c r="F110" s="96"/>
      <c r="G110" s="228" t="s">
        <v>20</v>
      </c>
      <c r="H110" s="96"/>
      <c r="I110" s="232" t="s">
        <v>5</v>
      </c>
      <c r="J110" s="229">
        <f t="shared" si="10"/>
        <v>0</v>
      </c>
      <c r="K110" s="232" t="s">
        <v>14</v>
      </c>
      <c r="L110" s="229"/>
      <c r="M110" s="229"/>
    </row>
    <row r="111" spans="1:29" ht="13.8" thickBot="1" x14ac:dyDescent="0.3">
      <c r="B111" s="226"/>
      <c r="C111" s="226" t="s">
        <v>19</v>
      </c>
      <c r="D111" s="229"/>
      <c r="E111" s="232"/>
      <c r="F111" s="96"/>
      <c r="G111" s="228" t="s">
        <v>20</v>
      </c>
      <c r="H111" s="96"/>
      <c r="I111" s="232" t="s">
        <v>5</v>
      </c>
      <c r="J111" s="229">
        <f t="shared" si="10"/>
        <v>0</v>
      </c>
      <c r="K111" s="232" t="s">
        <v>14</v>
      </c>
      <c r="L111" s="229"/>
      <c r="M111" s="229"/>
    </row>
    <row r="112" spans="1:29" ht="13.8" thickBot="1" x14ac:dyDescent="0.3">
      <c r="B112" s="226"/>
      <c r="C112" s="226" t="s">
        <v>300</v>
      </c>
      <c r="D112" s="229"/>
      <c r="E112" s="232"/>
      <c r="F112" s="96"/>
      <c r="G112" s="228"/>
      <c r="H112" s="96"/>
      <c r="I112" s="232"/>
      <c r="J112" s="229">
        <f t="shared" si="10"/>
        <v>0</v>
      </c>
      <c r="K112" s="232" t="s">
        <v>14</v>
      </c>
      <c r="L112" s="229"/>
      <c r="M112" s="229"/>
      <c r="AB112" s="8"/>
      <c r="AC112" s="8"/>
    </row>
    <row r="113" spans="1:29" ht="13.8" thickBot="1" x14ac:dyDescent="0.3">
      <c r="B113" s="226"/>
      <c r="C113" s="226" t="s">
        <v>300</v>
      </c>
      <c r="D113" s="229"/>
      <c r="E113" s="229"/>
      <c r="F113" s="96"/>
      <c r="G113" s="229"/>
      <c r="H113" s="96"/>
      <c r="I113" s="229"/>
      <c r="J113" s="229">
        <f t="shared" si="10"/>
        <v>0</v>
      </c>
      <c r="K113" s="232" t="s">
        <v>14</v>
      </c>
      <c r="L113" s="229"/>
      <c r="M113" s="229"/>
    </row>
    <row r="114" spans="1:29" s="8" customFormat="1" x14ac:dyDescent="0.25">
      <c r="A114" s="681"/>
      <c r="B114" s="229"/>
      <c r="C114" s="226" t="s">
        <v>300</v>
      </c>
      <c r="D114" s="260"/>
      <c r="E114" s="260"/>
      <c r="F114" s="261"/>
      <c r="G114" s="260"/>
      <c r="H114" s="261"/>
      <c r="I114" s="260"/>
      <c r="J114" s="260">
        <f>SUM(J107:J113)</f>
        <v>77.400000000000006</v>
      </c>
      <c r="K114" s="262" t="s">
        <v>14</v>
      </c>
      <c r="L114" s="260"/>
      <c r="M114" s="260"/>
      <c r="AB114"/>
      <c r="AC114"/>
    </row>
    <row r="115" spans="1:29" x14ac:dyDescent="0.25">
      <c r="B115" s="260"/>
      <c r="C115" s="260" t="s">
        <v>196</v>
      </c>
      <c r="D115" s="229"/>
      <c r="E115" s="229"/>
      <c r="F115" s="229"/>
      <c r="G115" s="229"/>
      <c r="H115" s="229"/>
      <c r="I115" s="229"/>
      <c r="J115" s="229"/>
      <c r="K115" s="229"/>
      <c r="L115" s="229"/>
      <c r="M115" s="229"/>
    </row>
    <row r="117" spans="1:29" ht="15.6" x14ac:dyDescent="0.3">
      <c r="B117" s="112" t="s">
        <v>634</v>
      </c>
      <c r="C117" s="101"/>
      <c r="D117" s="101"/>
      <c r="E117" s="101"/>
      <c r="F117" s="101"/>
      <c r="G117" s="101"/>
      <c r="H117" s="101"/>
      <c r="I117" s="101"/>
      <c r="J117" s="101"/>
      <c r="K117" s="101"/>
      <c r="L117" s="101"/>
      <c r="M117" s="101"/>
    </row>
    <row r="118" spans="1:29" ht="15.6" x14ac:dyDescent="0.3">
      <c r="B118" s="112"/>
      <c r="C118" s="101"/>
      <c r="D118" s="101"/>
      <c r="E118" s="101"/>
      <c r="F118" s="101"/>
      <c r="G118" s="101"/>
      <c r="H118" s="101"/>
      <c r="I118" s="101"/>
      <c r="J118" s="101"/>
      <c r="K118" s="101"/>
      <c r="L118" s="101"/>
      <c r="M118" s="101"/>
      <c r="AB118" s="8"/>
      <c r="AC118" s="8"/>
    </row>
    <row r="119" spans="1:29" ht="15" customHeight="1" x14ac:dyDescent="0.25">
      <c r="B119" s="961" t="s">
        <v>302</v>
      </c>
      <c r="C119" s="961"/>
      <c r="D119" s="961"/>
      <c r="E119" s="961"/>
      <c r="F119" s="961"/>
      <c r="G119" s="961"/>
      <c r="H119" s="961"/>
      <c r="I119" s="961"/>
      <c r="J119" s="961"/>
      <c r="K119" s="961"/>
      <c r="L119" s="961"/>
      <c r="M119" s="961"/>
    </row>
    <row r="120" spans="1:29" s="8" customFormat="1" ht="15.6" x14ac:dyDescent="0.3">
      <c r="A120" s="681"/>
      <c r="B120" s="112"/>
      <c r="C120" s="101"/>
      <c r="D120" s="101"/>
      <c r="E120" s="848"/>
      <c r="F120" s="848"/>
      <c r="G120" s="848"/>
      <c r="H120" s="849"/>
      <c r="I120" s="849"/>
      <c r="J120" s="848"/>
      <c r="K120" s="848"/>
      <c r="L120" s="849"/>
      <c r="M120" s="849"/>
      <c r="N120"/>
      <c r="O120"/>
      <c r="P120"/>
      <c r="Q120"/>
      <c r="R120"/>
      <c r="S120"/>
      <c r="T120"/>
      <c r="U120"/>
      <c r="AB120"/>
      <c r="AC120"/>
    </row>
    <row r="121" spans="1:29" ht="15.6" x14ac:dyDescent="0.3">
      <c r="B121" s="112"/>
      <c r="C121" s="101"/>
      <c r="D121" s="101"/>
      <c r="E121" s="962" t="s">
        <v>303</v>
      </c>
      <c r="F121" s="962"/>
      <c r="G121" s="962"/>
      <c r="H121" s="963" t="s">
        <v>158</v>
      </c>
      <c r="I121" s="963"/>
      <c r="J121" s="963" t="s">
        <v>304</v>
      </c>
      <c r="K121" s="963"/>
      <c r="L121" s="963" t="s">
        <v>158</v>
      </c>
      <c r="M121" s="963"/>
    </row>
    <row r="122" spans="1:29" ht="33" customHeight="1" thickBot="1" x14ac:dyDescent="0.3">
      <c r="B122" s="100"/>
      <c r="C122" s="101"/>
      <c r="D122" s="101"/>
      <c r="E122" s="101"/>
      <c r="F122" s="101"/>
      <c r="G122" s="101"/>
      <c r="H122" s="101"/>
      <c r="I122" s="101"/>
      <c r="J122" s="101"/>
      <c r="K122" s="101"/>
      <c r="L122" s="101"/>
      <c r="M122" s="101"/>
      <c r="N122" s="8"/>
      <c r="O122" s="8"/>
      <c r="P122" s="8"/>
      <c r="Q122" s="8"/>
      <c r="R122" s="8"/>
      <c r="S122" s="8"/>
      <c r="T122" s="8"/>
      <c r="U122" s="8"/>
    </row>
    <row r="123" spans="1:29" ht="13.8" thickBot="1" x14ac:dyDescent="0.3">
      <c r="B123" s="101"/>
      <c r="C123" s="102" t="s">
        <v>307</v>
      </c>
      <c r="D123" s="101"/>
      <c r="E123" s="101"/>
      <c r="F123" s="115">
        <v>2</v>
      </c>
      <c r="G123" s="104" t="s">
        <v>22</v>
      </c>
      <c r="H123" s="117">
        <v>14.5</v>
      </c>
      <c r="I123" s="104" t="s">
        <v>11</v>
      </c>
      <c r="J123" s="116"/>
      <c r="K123" s="104" t="s">
        <v>22</v>
      </c>
      <c r="L123" s="117">
        <v>14.5</v>
      </c>
      <c r="M123" s="104" t="s">
        <v>11</v>
      </c>
    </row>
    <row r="124" spans="1:29" ht="13.8" thickBot="1" x14ac:dyDescent="0.3">
      <c r="B124" s="101"/>
      <c r="C124" s="102" t="s">
        <v>635</v>
      </c>
      <c r="D124" s="101"/>
      <c r="E124" s="101"/>
      <c r="F124" s="115">
        <v>3</v>
      </c>
      <c r="G124" s="104" t="s">
        <v>22</v>
      </c>
      <c r="H124" s="114">
        <f t="shared" ref="H124:H129" si="11">$H$123</f>
        <v>14.5</v>
      </c>
      <c r="I124" s="104" t="s">
        <v>11</v>
      </c>
      <c r="J124" s="116"/>
      <c r="K124" s="104" t="s">
        <v>22</v>
      </c>
      <c r="L124" s="114">
        <f t="shared" ref="L124:L129" si="12">$L$123</f>
        <v>14.5</v>
      </c>
      <c r="M124" s="104" t="s">
        <v>11</v>
      </c>
    </row>
    <row r="125" spans="1:29" ht="13.8" thickBot="1" x14ac:dyDescent="0.3">
      <c r="B125" s="101"/>
      <c r="C125" s="102" t="s">
        <v>311</v>
      </c>
      <c r="D125" s="101"/>
      <c r="E125" s="101"/>
      <c r="F125" s="115">
        <v>2</v>
      </c>
      <c r="G125" s="104" t="s">
        <v>22</v>
      </c>
      <c r="H125" s="114">
        <f t="shared" si="11"/>
        <v>14.5</v>
      </c>
      <c r="I125" s="104" t="s">
        <v>11</v>
      </c>
      <c r="J125" s="116"/>
      <c r="K125" s="104" t="s">
        <v>22</v>
      </c>
      <c r="L125" s="114">
        <f t="shared" si="12"/>
        <v>14.5</v>
      </c>
      <c r="M125" s="104" t="s">
        <v>11</v>
      </c>
    </row>
    <row r="126" spans="1:29" ht="13.8" thickBot="1" x14ac:dyDescent="0.3">
      <c r="B126" s="101"/>
      <c r="C126" s="102" t="s">
        <v>638</v>
      </c>
      <c r="D126" s="101"/>
      <c r="E126" s="101"/>
      <c r="F126" s="115">
        <v>2</v>
      </c>
      <c r="G126" s="104" t="s">
        <v>22</v>
      </c>
      <c r="H126" s="114">
        <f t="shared" si="11"/>
        <v>14.5</v>
      </c>
      <c r="I126" s="104" t="s">
        <v>11</v>
      </c>
      <c r="J126" s="116"/>
      <c r="K126" s="104" t="s">
        <v>22</v>
      </c>
      <c r="L126" s="114">
        <f t="shared" si="12"/>
        <v>14.5</v>
      </c>
      <c r="M126" s="104" t="s">
        <v>11</v>
      </c>
    </row>
    <row r="127" spans="1:29" ht="13.8" thickBot="1" x14ac:dyDescent="0.3">
      <c r="B127" s="101"/>
      <c r="C127" s="102" t="s">
        <v>431</v>
      </c>
      <c r="D127" s="101"/>
      <c r="E127" s="101"/>
      <c r="F127" s="116"/>
      <c r="G127" s="104" t="s">
        <v>22</v>
      </c>
      <c r="H127" s="114">
        <f t="shared" si="11"/>
        <v>14.5</v>
      </c>
      <c r="I127" s="104" t="s">
        <v>11</v>
      </c>
      <c r="J127" s="97"/>
      <c r="K127" s="104" t="s">
        <v>22</v>
      </c>
      <c r="L127" s="114">
        <f t="shared" si="12"/>
        <v>14.5</v>
      </c>
      <c r="M127" s="104" t="s">
        <v>11</v>
      </c>
    </row>
    <row r="128" spans="1:29" ht="13.8" thickBot="1" x14ac:dyDescent="0.3">
      <c r="B128" s="101"/>
      <c r="C128" s="102" t="s">
        <v>431</v>
      </c>
      <c r="D128" s="101"/>
      <c r="E128" s="101"/>
      <c r="F128" s="116"/>
      <c r="G128" s="104" t="s">
        <v>22</v>
      </c>
      <c r="H128" s="114">
        <f t="shared" si="11"/>
        <v>14.5</v>
      </c>
      <c r="I128" s="104" t="s">
        <v>11</v>
      </c>
      <c r="J128" s="97"/>
      <c r="K128" s="104" t="s">
        <v>22</v>
      </c>
      <c r="L128" s="114">
        <f t="shared" si="12"/>
        <v>14.5</v>
      </c>
      <c r="M128" s="104" t="s">
        <v>11</v>
      </c>
    </row>
    <row r="129" spans="2:21" ht="13.8" thickBot="1" x14ac:dyDescent="0.3">
      <c r="B129" s="101"/>
      <c r="C129" s="102" t="s">
        <v>431</v>
      </c>
      <c r="D129" s="103"/>
      <c r="E129" s="103"/>
      <c r="F129" s="97"/>
      <c r="G129" s="104" t="s">
        <v>22</v>
      </c>
      <c r="H129" s="114">
        <f t="shared" si="11"/>
        <v>14.5</v>
      </c>
      <c r="I129" s="104" t="s">
        <v>11</v>
      </c>
      <c r="J129" s="97"/>
      <c r="K129" s="104" t="s">
        <v>22</v>
      </c>
      <c r="L129" s="114">
        <f t="shared" si="12"/>
        <v>14.5</v>
      </c>
      <c r="M129" s="104" t="s">
        <v>11</v>
      </c>
    </row>
    <row r="130" spans="2:21" x14ac:dyDescent="0.25">
      <c r="B130" s="264"/>
      <c r="C130" s="265" t="s">
        <v>196</v>
      </c>
      <c r="D130" s="266"/>
      <c r="E130" s="266"/>
      <c r="F130" s="267">
        <f>SUM(F123:F129)</f>
        <v>9</v>
      </c>
      <c r="G130" s="264" t="s">
        <v>22</v>
      </c>
      <c r="H130" s="268">
        <f>F130*H123</f>
        <v>130.5</v>
      </c>
      <c r="I130" s="264" t="s">
        <v>14</v>
      </c>
      <c r="J130" s="269">
        <f>SUM(J123:J129)</f>
        <v>0</v>
      </c>
      <c r="K130" s="264" t="s">
        <v>22</v>
      </c>
      <c r="L130" s="268">
        <f>J130*L123</f>
        <v>0</v>
      </c>
      <c r="M130" s="264" t="s">
        <v>14</v>
      </c>
    </row>
    <row r="132" spans="2:21" ht="40.049999999999997" customHeight="1" x14ac:dyDescent="0.25">
      <c r="N132" s="8"/>
      <c r="O132" s="8"/>
      <c r="P132" s="8"/>
      <c r="Q132" s="8"/>
      <c r="R132" s="8"/>
      <c r="S132" s="8"/>
      <c r="T132" s="8"/>
      <c r="U132" s="8"/>
    </row>
    <row r="135" spans="2:21" ht="37.950000000000003" customHeight="1" x14ac:dyDescent="0.25"/>
    <row r="145" spans="1:29" x14ac:dyDescent="0.25">
      <c r="AB145" s="8"/>
      <c r="AC145" s="8"/>
    </row>
    <row r="147" spans="1:29" s="8" customFormat="1" x14ac:dyDescent="0.25">
      <c r="A147" s="681"/>
      <c r="B147"/>
      <c r="C147"/>
      <c r="D147"/>
      <c r="E147"/>
      <c r="F147"/>
      <c r="G147"/>
      <c r="H147"/>
      <c r="I147"/>
      <c r="J147"/>
      <c r="K147"/>
      <c r="L147"/>
      <c r="M147"/>
      <c r="N147"/>
      <c r="O147"/>
      <c r="P147"/>
      <c r="Q147"/>
      <c r="R147"/>
      <c r="S147"/>
      <c r="T147"/>
      <c r="U147"/>
      <c r="AB147"/>
      <c r="AC147"/>
    </row>
    <row r="149" spans="1:29" x14ac:dyDescent="0.25">
      <c r="N149" s="8"/>
      <c r="O149" s="8"/>
      <c r="P149" s="8"/>
      <c r="Q149" s="8"/>
      <c r="R149" s="8"/>
      <c r="S149" s="8"/>
      <c r="T149" s="8"/>
      <c r="U149" s="8"/>
    </row>
  </sheetData>
  <mergeCells count="37">
    <mergeCell ref="B2:C2"/>
    <mergeCell ref="B4:L4"/>
    <mergeCell ref="B11:D11"/>
    <mergeCell ref="B55:D55"/>
    <mergeCell ref="B24:E24"/>
    <mergeCell ref="B25:E25"/>
    <mergeCell ref="B26:D26"/>
    <mergeCell ref="B29:C29"/>
    <mergeCell ref="C32:D32"/>
    <mergeCell ref="B36:D36"/>
    <mergeCell ref="C39:D39"/>
    <mergeCell ref="B43:D43"/>
    <mergeCell ref="C46:D46"/>
    <mergeCell ref="B50:C50"/>
    <mergeCell ref="C53:D53"/>
    <mergeCell ref="B60:D60"/>
    <mergeCell ref="B64:D64"/>
    <mergeCell ref="B67:E67"/>
    <mergeCell ref="L67:M67"/>
    <mergeCell ref="F69:G69"/>
    <mergeCell ref="H69:I69"/>
    <mergeCell ref="J69:K69"/>
    <mergeCell ref="B62:D62"/>
    <mergeCell ref="F75:G75"/>
    <mergeCell ref="H75:I75"/>
    <mergeCell ref="J75:K75"/>
    <mergeCell ref="F82:G82"/>
    <mergeCell ref="H82:I82"/>
    <mergeCell ref="J82:K82"/>
    <mergeCell ref="F97:G97"/>
    <mergeCell ref="H97:I97"/>
    <mergeCell ref="J97:K97"/>
    <mergeCell ref="B119:M119"/>
    <mergeCell ref="E121:G121"/>
    <mergeCell ref="H121:I121"/>
    <mergeCell ref="J121:K121"/>
    <mergeCell ref="L121:M121"/>
  </mergeCells>
  <hyperlinks>
    <hyperlink ref="L67" location="'Avomaan mansikka'!B2" display="PALAA SIVUN YLÄLAITAAN" xr:uid="{4C51E003-5AA9-DD43-B6A8-EEB28286FF2D}"/>
    <hyperlink ref="L67:M67" location="Vall!A1" display="TILL SIDANS BÖRJAN" xr:uid="{979635D4-2F11-EF4C-BED4-699D91ADFAB9}"/>
    <hyperlink ref="B2" location="Tilakokonaisuus!A1" display="PALAA ETUSIVULLE" xr:uid="{6E688766-2F25-45D3-B45F-0725E64355C3}"/>
    <hyperlink ref="B2:C2" location="'Gårdens info'!A1" display="TILL FRAMSIDAN" xr:uid="{BBED844E-1966-4044-BDA2-4809562F8CD8}"/>
    <hyperlink ref="B24:E24" location="'Gårdens info'!B140" display="ALLMÄNNA KOSTNADER, vallens andel" xr:uid="{21A7FBCE-4E82-410B-8F50-1A9C1DF3963A}"/>
    <hyperlink ref="B29:C29" location="Ägendom!B15" display="BYGGNADER" xr:uid="{28543D59-E8AC-4D12-8646-2BCB94B2881B}"/>
    <hyperlink ref="B36:D36" location="Ägendom!B28" display="MASINER OCH UTRUSTNING" xr:uid="{EB5D3B58-2B14-4B5D-B6D5-522C0851B6B4}"/>
    <hyperlink ref="B43:D43" location="Ägendom!B51" display="LÅNGVARIGA PRODUKTIONSMEDEL" xr:uid="{5942E769-CC09-4E5C-901A-E23C42021D6A}"/>
    <hyperlink ref="B50:C50" location="Ägendom!B70" display="TÄCKDIKEN" xr:uid="{80E23D7F-0C92-4A57-B3F2-48BFC6E181FF}"/>
  </hyperlink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ED82C-250B-6B41-AD72-CC6B015DA9CA}">
  <dimension ref="A1:W51"/>
  <sheetViews>
    <sheetView zoomScaleNormal="100" workbookViewId="0">
      <selection activeCell="B2" sqref="B2:C2"/>
    </sheetView>
  </sheetViews>
  <sheetFormatPr defaultColWidth="11.44140625" defaultRowHeight="13.2" x14ac:dyDescent="0.25"/>
  <cols>
    <col min="1" max="1" width="7" style="141" customWidth="1"/>
    <col min="2" max="2" width="65.44140625" bestFit="1" customWidth="1"/>
    <col min="3" max="3" width="16.33203125" customWidth="1"/>
    <col min="4" max="4" width="5.77734375" bestFit="1" customWidth="1"/>
    <col min="5" max="5" width="7.77734375" customWidth="1"/>
    <col min="6" max="6" width="15" customWidth="1"/>
    <col min="7" max="7" width="5.77734375" bestFit="1" customWidth="1"/>
    <col min="8" max="8" width="5.77734375" customWidth="1"/>
    <col min="9" max="9" width="20.77734375" customWidth="1"/>
    <col min="10" max="10" width="23.33203125" customWidth="1"/>
    <col min="12" max="13" width="11.44140625" style="139"/>
    <col min="14" max="14" width="14.6640625" customWidth="1"/>
  </cols>
  <sheetData>
    <row r="1" spans="2:23" s="141" customFormat="1" ht="30" customHeight="1" x14ac:dyDescent="0.4">
      <c r="B1" s="168" t="s">
        <v>138</v>
      </c>
      <c r="L1" s="831"/>
      <c r="M1" s="831"/>
    </row>
    <row r="2" spans="2:23" ht="25.05" customHeight="1" x14ac:dyDescent="0.3">
      <c r="B2" s="976" t="s">
        <v>337</v>
      </c>
      <c r="C2" s="976"/>
      <c r="D2" s="233"/>
      <c r="E2" s="869"/>
      <c r="F2" s="25"/>
      <c r="G2" s="25"/>
      <c r="H2" s="25"/>
      <c r="I2" s="25"/>
      <c r="J2" s="25"/>
      <c r="K2" s="25"/>
      <c r="N2" s="868"/>
      <c r="O2" s="868"/>
      <c r="P2" s="868"/>
      <c r="Q2" s="868"/>
      <c r="R2" s="868"/>
      <c r="S2" s="868"/>
      <c r="T2" s="868"/>
      <c r="U2" s="868"/>
      <c r="V2" s="868"/>
      <c r="W2" s="868"/>
    </row>
    <row r="3" spans="2:23" ht="28.05" customHeight="1" thickBot="1" x14ac:dyDescent="0.3">
      <c r="E3" s="25"/>
      <c r="F3" s="25"/>
      <c r="G3" s="25"/>
      <c r="H3" s="25"/>
      <c r="I3" s="25"/>
      <c r="J3" s="25"/>
      <c r="K3" s="25"/>
      <c r="N3" s="868"/>
      <c r="O3" s="868"/>
      <c r="P3" s="868"/>
      <c r="Q3" s="868" t="s">
        <v>34</v>
      </c>
      <c r="R3" s="868"/>
      <c r="S3" s="868"/>
      <c r="T3" s="868"/>
      <c r="U3" s="868"/>
      <c r="V3" s="868"/>
      <c r="W3" s="868"/>
    </row>
    <row r="4" spans="2:23" ht="17.399999999999999" x14ac:dyDescent="0.3">
      <c r="B4" s="79"/>
      <c r="C4" s="989" t="s">
        <v>657</v>
      </c>
      <c r="D4" s="989"/>
      <c r="E4" s="989"/>
      <c r="F4" s="989"/>
      <c r="G4" s="395"/>
      <c r="H4" s="395"/>
      <c r="I4" s="990" t="s">
        <v>659</v>
      </c>
      <c r="J4" s="990" t="s">
        <v>660</v>
      </c>
      <c r="K4" s="436"/>
      <c r="L4" s="456"/>
      <c r="M4" s="456"/>
      <c r="N4" s="868"/>
      <c r="O4" s="868"/>
      <c r="P4" s="868"/>
      <c r="Q4" s="868" t="s">
        <v>27</v>
      </c>
      <c r="R4" s="868" t="s">
        <v>142</v>
      </c>
      <c r="S4" s="868" t="s">
        <v>676</v>
      </c>
      <c r="T4" s="868"/>
      <c r="U4" s="868"/>
      <c r="V4" s="868"/>
      <c r="W4" s="868"/>
    </row>
    <row r="5" spans="2:23" ht="49.95" customHeight="1" thickBot="1" x14ac:dyDescent="0.35">
      <c r="B5" s="130" t="s">
        <v>658</v>
      </c>
      <c r="C5" s="131" t="s">
        <v>27</v>
      </c>
      <c r="D5" s="131"/>
      <c r="E5" s="131"/>
      <c r="F5" s="131" t="s">
        <v>28</v>
      </c>
      <c r="G5" s="131"/>
      <c r="H5" s="396"/>
      <c r="I5" s="991"/>
      <c r="J5" s="991"/>
      <c r="K5" s="438"/>
      <c r="L5" s="868"/>
      <c r="M5" s="868"/>
      <c r="N5" s="868"/>
      <c r="O5" s="868"/>
      <c r="P5" s="868"/>
      <c r="Q5" s="868" t="s">
        <v>28</v>
      </c>
      <c r="R5" s="868" t="s">
        <v>143</v>
      </c>
      <c r="S5" s="868" t="s">
        <v>677</v>
      </c>
      <c r="T5" s="868"/>
      <c r="U5" s="868"/>
      <c r="V5" s="868"/>
      <c r="W5" s="868"/>
    </row>
    <row r="6" spans="2:23" ht="18" thickBot="1" x14ac:dyDescent="0.35">
      <c r="B6" s="134" t="s">
        <v>661</v>
      </c>
      <c r="C6" s="132">
        <v>122.37</v>
      </c>
      <c r="D6" s="132" t="s">
        <v>14</v>
      </c>
      <c r="E6" s="132"/>
      <c r="F6" s="132">
        <v>106.22</v>
      </c>
      <c r="G6" s="132" t="s">
        <v>14</v>
      </c>
      <c r="H6" s="132"/>
      <c r="I6" s="140" t="s">
        <v>676</v>
      </c>
      <c r="J6" s="140">
        <v>2</v>
      </c>
      <c r="K6" s="437" t="s">
        <v>0</v>
      </c>
      <c r="L6" s="868" cm="1">
        <f t="array" ref="L6">IF(I6="Kyllä",IF('Gårdens info'!$G$50:$H$50="AB",Stöd!C6,Stöd!F6),0)</f>
        <v>0</v>
      </c>
      <c r="M6" s="868"/>
      <c r="N6" s="868"/>
      <c r="O6" s="868"/>
      <c r="P6" s="868"/>
      <c r="Q6" s="868"/>
      <c r="R6" s="868"/>
      <c r="S6" s="868"/>
      <c r="T6" s="868"/>
      <c r="U6" s="868"/>
      <c r="V6" s="868"/>
      <c r="W6" s="868"/>
    </row>
    <row r="7" spans="2:23" ht="18" thickBot="1" x14ac:dyDescent="0.35">
      <c r="B7" s="134" t="s">
        <v>663</v>
      </c>
      <c r="C7" s="132">
        <v>217</v>
      </c>
      <c r="D7" s="132" t="s">
        <v>14</v>
      </c>
      <c r="E7" s="132"/>
      <c r="F7" s="132">
        <v>242</v>
      </c>
      <c r="G7" s="132" t="s">
        <v>14</v>
      </c>
      <c r="H7" s="132"/>
      <c r="I7" s="140" t="s">
        <v>676</v>
      </c>
      <c r="J7" s="140">
        <v>5</v>
      </c>
      <c r="K7" s="437" t="s">
        <v>0</v>
      </c>
      <c r="L7" s="868" cm="1">
        <f t="array" ref="L7">IF(I7="Kyllä",IF('Gårdens info'!$G$50:$H$50="AB",Stöd!C7,Stöd!F7),0)</f>
        <v>0</v>
      </c>
      <c r="M7" s="868"/>
      <c r="N7" s="868"/>
      <c r="O7" s="868"/>
      <c r="P7" s="868"/>
      <c r="Q7" s="868"/>
      <c r="R7" s="868"/>
      <c r="S7" s="868"/>
      <c r="T7" s="868"/>
      <c r="U7" s="868"/>
      <c r="V7" s="868"/>
      <c r="W7" s="868"/>
    </row>
    <row r="8" spans="2:23" ht="18" thickBot="1" x14ac:dyDescent="0.35">
      <c r="B8" s="134" t="s">
        <v>662</v>
      </c>
      <c r="C8" s="132">
        <v>74</v>
      </c>
      <c r="D8" s="132" t="s">
        <v>14</v>
      </c>
      <c r="E8" s="132"/>
      <c r="F8" s="132">
        <v>64</v>
      </c>
      <c r="G8" s="132" t="s">
        <v>14</v>
      </c>
      <c r="H8" s="132"/>
      <c r="I8" s="140" t="s">
        <v>676</v>
      </c>
      <c r="J8" s="140">
        <v>5</v>
      </c>
      <c r="K8" s="437" t="s">
        <v>0</v>
      </c>
      <c r="L8" s="868" cm="1">
        <f t="array" ref="L8">IF(I8="Kyllä",IF('Gårdens info'!$G$50:$H$50="AB",Stöd!C8,Stöd!F8),0)</f>
        <v>0</v>
      </c>
      <c r="M8" s="868"/>
      <c r="N8" s="868"/>
      <c r="O8" s="868"/>
      <c r="P8" s="868"/>
      <c r="Q8" s="868"/>
      <c r="R8" s="868"/>
      <c r="S8" s="868"/>
      <c r="T8" s="868"/>
      <c r="U8" s="868"/>
      <c r="V8" s="868"/>
      <c r="W8" s="868"/>
    </row>
    <row r="9" spans="2:23" ht="46.95" customHeight="1" x14ac:dyDescent="0.3">
      <c r="B9" s="133"/>
      <c r="C9" s="132"/>
      <c r="D9" s="132"/>
      <c r="E9" s="132"/>
      <c r="F9" s="132"/>
      <c r="G9" s="132"/>
      <c r="H9" s="132"/>
      <c r="I9" s="440"/>
      <c r="J9" s="361"/>
      <c r="K9" s="437"/>
      <c r="L9" s="868"/>
      <c r="M9" s="868"/>
      <c r="N9" s="868"/>
      <c r="O9" s="868"/>
      <c r="P9" s="868"/>
      <c r="Q9" s="868"/>
      <c r="R9" s="868"/>
      <c r="S9" s="868"/>
      <c r="T9" s="868"/>
      <c r="U9" s="868"/>
      <c r="V9" s="868"/>
      <c r="W9" s="868"/>
    </row>
    <row r="10" spans="2:23" ht="19.95" customHeight="1" x14ac:dyDescent="0.3">
      <c r="B10" s="133"/>
      <c r="C10" s="398" t="s">
        <v>665</v>
      </c>
      <c r="D10" s="136"/>
      <c r="E10" s="136"/>
      <c r="F10" s="136" t="s">
        <v>143</v>
      </c>
      <c r="G10" s="132"/>
      <c r="H10" s="132"/>
      <c r="I10" s="440"/>
      <c r="J10" s="361"/>
      <c r="K10" s="437"/>
      <c r="L10" s="868"/>
      <c r="M10" s="868"/>
      <c r="N10" s="868"/>
      <c r="O10" s="868"/>
      <c r="P10" s="868"/>
      <c r="Q10" s="868"/>
      <c r="R10" s="868"/>
      <c r="S10" s="868"/>
      <c r="T10" s="868"/>
      <c r="U10" s="868"/>
      <c r="V10" s="868"/>
      <c r="W10" s="868"/>
    </row>
    <row r="11" spans="2:23" ht="21" customHeight="1" thickBot="1" x14ac:dyDescent="0.35">
      <c r="B11" s="133" t="s">
        <v>664</v>
      </c>
      <c r="C11" s="132"/>
      <c r="D11" s="132"/>
      <c r="E11" s="132"/>
      <c r="F11" s="132"/>
      <c r="G11" s="132"/>
      <c r="H11" s="132"/>
      <c r="I11" s="440"/>
      <c r="J11" s="361"/>
      <c r="K11" s="437"/>
      <c r="L11" s="868"/>
      <c r="M11" s="868"/>
      <c r="N11" s="868"/>
      <c r="O11" s="868"/>
      <c r="P11" s="868"/>
      <c r="Q11" s="868"/>
      <c r="R11" s="868"/>
      <c r="S11" s="868"/>
      <c r="T11" s="868"/>
      <c r="U11" s="868"/>
      <c r="V11" s="868"/>
      <c r="W11" s="868"/>
    </row>
    <row r="12" spans="2:23" ht="19.95" customHeight="1" thickBot="1" x14ac:dyDescent="0.35">
      <c r="B12" s="133" t="s">
        <v>666</v>
      </c>
      <c r="C12" s="132">
        <v>200</v>
      </c>
      <c r="D12" s="132" t="s">
        <v>14</v>
      </c>
      <c r="E12" s="132"/>
      <c r="F12" s="132">
        <v>200</v>
      </c>
      <c r="G12" s="132" t="s">
        <v>14</v>
      </c>
      <c r="H12" s="132"/>
      <c r="I12" s="140" t="s">
        <v>676</v>
      </c>
      <c r="J12" s="140">
        <v>5</v>
      </c>
      <c r="K12" s="437" t="s">
        <v>0</v>
      </c>
      <c r="L12" s="868" cm="1">
        <f t="array" ref="L12">IF(I12="Kyllä",IF('Gårdens info'!$G$51:$H$51="Kohdentamisalue",Stöd!C12,Stöd!F12),0)</f>
        <v>0</v>
      </c>
      <c r="M12" s="868"/>
      <c r="N12" s="868"/>
      <c r="O12" s="868"/>
      <c r="P12" s="868"/>
      <c r="Q12" s="868"/>
      <c r="R12" s="868"/>
      <c r="S12" s="868"/>
      <c r="T12" s="868"/>
      <c r="U12" s="868"/>
      <c r="V12" s="868"/>
      <c r="W12" s="868"/>
    </row>
    <row r="13" spans="2:23" ht="19.95" customHeight="1" thickBot="1" x14ac:dyDescent="0.35">
      <c r="B13" s="133" t="s">
        <v>667</v>
      </c>
      <c r="C13" s="132">
        <v>500</v>
      </c>
      <c r="D13" s="132" t="s">
        <v>14</v>
      </c>
      <c r="E13" s="132"/>
      <c r="F13" s="132">
        <v>500</v>
      </c>
      <c r="G13" s="132" t="s">
        <v>14</v>
      </c>
      <c r="H13" s="132"/>
      <c r="I13" s="140" t="s">
        <v>676</v>
      </c>
      <c r="J13" s="140">
        <v>5</v>
      </c>
      <c r="K13" s="437" t="s">
        <v>0</v>
      </c>
      <c r="L13" s="868" cm="1">
        <f t="array" ref="L13">IF(I13="Kyllä",IF('Gårdens info'!$G$51:$H$51="Kohdentamisalue",Stöd!C13,Stöd!F13),0)</f>
        <v>0</v>
      </c>
      <c r="M13" s="868"/>
      <c r="N13" s="868"/>
      <c r="O13" s="868"/>
      <c r="P13" s="868"/>
      <c r="Q13" s="868"/>
      <c r="R13" s="868"/>
      <c r="S13" s="868"/>
      <c r="T13" s="868"/>
      <c r="U13" s="868"/>
      <c r="V13" s="868"/>
      <c r="W13" s="868"/>
    </row>
    <row r="14" spans="2:23" ht="19.95" customHeight="1" thickBot="1" x14ac:dyDescent="0.35">
      <c r="B14" s="133" t="s">
        <v>668</v>
      </c>
      <c r="C14" s="132"/>
      <c r="D14" s="132"/>
      <c r="E14" s="132"/>
      <c r="F14" s="132"/>
      <c r="G14" s="132"/>
      <c r="H14" s="132"/>
      <c r="I14" s="440"/>
      <c r="J14" s="361"/>
      <c r="K14" s="437" t="s">
        <v>0</v>
      </c>
      <c r="L14" s="868"/>
      <c r="M14" s="868"/>
      <c r="N14" s="868"/>
      <c r="O14" s="868"/>
      <c r="P14" s="868"/>
      <c r="Q14" s="25"/>
      <c r="R14" s="25"/>
      <c r="S14" s="25"/>
      <c r="T14" s="25"/>
      <c r="U14" s="25"/>
      <c r="V14" s="25"/>
      <c r="W14" s="25"/>
    </row>
    <row r="15" spans="2:23" ht="19.95" customHeight="1" thickBot="1" x14ac:dyDescent="0.35">
      <c r="B15" s="133" t="s">
        <v>669</v>
      </c>
      <c r="C15" s="132">
        <v>500</v>
      </c>
      <c r="D15" s="132" t="s">
        <v>14</v>
      </c>
      <c r="E15" s="132"/>
      <c r="F15" s="132">
        <v>500</v>
      </c>
      <c r="G15" s="132" t="s">
        <v>14</v>
      </c>
      <c r="H15" s="132"/>
      <c r="I15" s="140" t="s">
        <v>677</v>
      </c>
      <c r="J15" s="140"/>
      <c r="K15" s="437" t="s">
        <v>0</v>
      </c>
      <c r="L15" s="868" cm="1">
        <f t="array" ref="L15">IF(I15="Kyllä",IF('Gårdens info'!$G$51:$H$51="Kohdentamisalue",Stöd!C15,Stöd!F15),0)</f>
        <v>0</v>
      </c>
      <c r="M15" s="868"/>
      <c r="N15" s="868"/>
      <c r="O15" s="868"/>
      <c r="P15" s="868"/>
      <c r="Q15" s="25"/>
      <c r="R15" s="25"/>
      <c r="S15" s="25"/>
      <c r="T15" s="25"/>
      <c r="U15" s="25"/>
      <c r="V15" s="25"/>
      <c r="W15" s="25"/>
    </row>
    <row r="16" spans="2:23" ht="19.95" customHeight="1" thickBot="1" x14ac:dyDescent="0.35">
      <c r="B16" s="133" t="s">
        <v>670</v>
      </c>
      <c r="C16" s="132">
        <v>350</v>
      </c>
      <c r="D16" s="132" t="s">
        <v>14</v>
      </c>
      <c r="E16" s="132"/>
      <c r="F16" s="132">
        <v>350</v>
      </c>
      <c r="G16" s="132" t="s">
        <v>14</v>
      </c>
      <c r="H16" s="132"/>
      <c r="I16" s="140" t="s">
        <v>677</v>
      </c>
      <c r="J16" s="140"/>
      <c r="K16" s="437" t="s">
        <v>0</v>
      </c>
      <c r="L16" s="868" cm="1">
        <f t="array" ref="L16">IF(I16="Kyllä",IF('Gårdens info'!$G$51:$H$51="Kohdentamisalue",Stöd!C16,Stöd!F16),0)</f>
        <v>0</v>
      </c>
      <c r="M16" s="868"/>
      <c r="N16" s="868"/>
      <c r="O16" s="868"/>
      <c r="P16" s="868"/>
      <c r="Q16" s="25"/>
      <c r="R16" s="25"/>
      <c r="S16" s="25"/>
      <c r="T16" s="25"/>
      <c r="U16" s="25"/>
      <c r="V16" s="25"/>
      <c r="W16" s="25"/>
    </row>
    <row r="17" spans="2:23" ht="18" thickBot="1" x14ac:dyDescent="0.35">
      <c r="B17" s="134" t="s">
        <v>671</v>
      </c>
      <c r="C17" s="135"/>
      <c r="D17" s="132"/>
      <c r="E17" s="132"/>
      <c r="F17" s="135"/>
      <c r="G17" s="132"/>
      <c r="H17" s="132"/>
      <c r="I17" s="440"/>
      <c r="J17" s="361"/>
      <c r="K17" s="437"/>
      <c r="L17" s="868"/>
      <c r="M17" s="868"/>
      <c r="N17" s="868"/>
      <c r="O17" s="868"/>
      <c r="P17" s="868"/>
      <c r="Q17" s="25"/>
      <c r="R17" s="25"/>
      <c r="S17" s="25"/>
      <c r="T17" s="25"/>
      <c r="U17" s="25"/>
      <c r="V17" s="25"/>
      <c r="W17" s="25"/>
    </row>
    <row r="18" spans="2:23" ht="18" thickBot="1" x14ac:dyDescent="0.35">
      <c r="B18" s="134" t="s">
        <v>672</v>
      </c>
      <c r="C18" s="135">
        <v>4</v>
      </c>
      <c r="D18" s="132" t="s">
        <v>14</v>
      </c>
      <c r="E18" s="132"/>
      <c r="F18" s="135">
        <v>4</v>
      </c>
      <c r="G18" s="132" t="s">
        <v>14</v>
      </c>
      <c r="H18" s="132"/>
      <c r="I18" s="140" t="s">
        <v>677</v>
      </c>
      <c r="J18" s="140"/>
      <c r="K18" s="437" t="s">
        <v>0</v>
      </c>
      <c r="L18" s="868" cm="1">
        <f t="array" ref="L18">IF(I18="Kyllä",IF('Gårdens info'!$G$51:$H$51="Kohdentamisalue",Stöd!C18,Stöd!F18),0)</f>
        <v>0</v>
      </c>
      <c r="M18" s="868"/>
      <c r="N18" s="868"/>
      <c r="O18" s="868"/>
      <c r="P18" s="868"/>
      <c r="Q18" s="25"/>
      <c r="R18" s="25"/>
      <c r="S18" s="25"/>
      <c r="T18" s="25"/>
      <c r="U18" s="25"/>
      <c r="V18" s="25"/>
      <c r="W18" s="25"/>
    </row>
    <row r="19" spans="2:23" ht="18" thickBot="1" x14ac:dyDescent="0.35">
      <c r="B19" s="134" t="s">
        <v>673</v>
      </c>
      <c r="C19" s="135">
        <v>18</v>
      </c>
      <c r="D19" s="132" t="s">
        <v>14</v>
      </c>
      <c r="E19" s="132"/>
      <c r="F19" s="135">
        <v>9</v>
      </c>
      <c r="G19" s="132" t="s">
        <v>14</v>
      </c>
      <c r="H19" s="132"/>
      <c r="I19" s="140" t="s">
        <v>677</v>
      </c>
      <c r="J19" s="140">
        <v>0</v>
      </c>
      <c r="K19" s="437" t="s">
        <v>0</v>
      </c>
      <c r="L19" s="868" cm="1">
        <f t="array" ref="L19">IF(I19="Kyllä",IF('Gårdens info'!$G$51:$H$51="Kohdentamisalue",Stöd!C19,Stöd!F19),0)</f>
        <v>0</v>
      </c>
      <c r="M19" s="868"/>
      <c r="N19" s="868"/>
      <c r="O19" s="868"/>
      <c r="P19" s="868"/>
      <c r="Q19" s="25"/>
      <c r="R19" s="25"/>
      <c r="S19" s="25"/>
      <c r="T19" s="25"/>
      <c r="U19" s="25"/>
      <c r="V19" s="25"/>
      <c r="W19" s="25"/>
    </row>
    <row r="20" spans="2:23" ht="18" thickBot="1" x14ac:dyDescent="0.35">
      <c r="B20" s="134" t="s">
        <v>674</v>
      </c>
      <c r="C20" s="135">
        <v>36</v>
      </c>
      <c r="D20" s="132" t="s">
        <v>14</v>
      </c>
      <c r="E20" s="132"/>
      <c r="F20" s="135">
        <v>11</v>
      </c>
      <c r="G20" s="132" t="s">
        <v>14</v>
      </c>
      <c r="H20" s="132"/>
      <c r="I20" s="140" t="s">
        <v>677</v>
      </c>
      <c r="J20" s="140"/>
      <c r="K20" s="437" t="s">
        <v>0</v>
      </c>
      <c r="L20" s="868" cm="1">
        <f t="array" ref="L20">IF(I20="Kyllä",IF('Gårdens info'!$G$51:$H$51="Kohdentamisalue",Stöd!C20,Stöd!F20),0)</f>
        <v>0</v>
      </c>
      <c r="M20" s="868"/>
      <c r="N20" s="868"/>
      <c r="O20" s="868"/>
      <c r="P20" s="868"/>
      <c r="Q20" s="25"/>
      <c r="R20" s="25"/>
      <c r="S20" s="25"/>
      <c r="T20" s="25"/>
      <c r="U20" s="25"/>
      <c r="V20" s="25"/>
      <c r="W20" s="25"/>
    </row>
    <row r="21" spans="2:23" ht="18" thickBot="1" x14ac:dyDescent="0.35">
      <c r="B21" s="137" t="s">
        <v>675</v>
      </c>
      <c r="C21" s="138">
        <v>54</v>
      </c>
      <c r="D21" s="138" t="s">
        <v>14</v>
      </c>
      <c r="E21" s="138"/>
      <c r="F21" s="138">
        <v>11</v>
      </c>
      <c r="G21" s="138" t="s">
        <v>14</v>
      </c>
      <c r="H21" s="397"/>
      <c r="I21" s="140" t="s">
        <v>677</v>
      </c>
      <c r="J21" s="140"/>
      <c r="K21" s="439" t="s">
        <v>0</v>
      </c>
      <c r="L21" s="868" cm="1">
        <f t="array" ref="L21">IF(I21="Kyllä",IF('Gårdens info'!$G$51:$H$51="Kohdentamisalue",Stöd!C21,Stöd!F21),0)</f>
        <v>0</v>
      </c>
      <c r="M21" s="868"/>
      <c r="N21" s="868"/>
      <c r="O21" s="868"/>
      <c r="P21" s="868"/>
      <c r="Q21" s="25"/>
      <c r="R21" s="25"/>
      <c r="S21" s="25"/>
      <c r="T21" s="25"/>
      <c r="U21" s="25"/>
      <c r="V21" s="25"/>
      <c r="W21" s="25"/>
    </row>
    <row r="22" spans="2:23" ht="17.399999999999999" x14ac:dyDescent="0.3">
      <c r="B22" s="134" t="s">
        <v>196</v>
      </c>
      <c r="C22" s="135">
        <f>C6+C7+C8+C13+C20</f>
        <v>949.37</v>
      </c>
      <c r="D22" s="132" t="s">
        <v>14</v>
      </c>
      <c r="E22" s="132"/>
      <c r="F22" s="135">
        <f>F6+F7+F8+F13+F20</f>
        <v>923.22</v>
      </c>
      <c r="G22" s="132" t="s">
        <v>14</v>
      </c>
      <c r="H22" s="132"/>
      <c r="I22" s="361"/>
      <c r="J22" s="361"/>
      <c r="K22" s="437"/>
      <c r="L22" s="868"/>
      <c r="M22" s="868"/>
      <c r="N22" s="868"/>
      <c r="O22" s="868"/>
      <c r="P22" s="868"/>
      <c r="Q22" s="25"/>
      <c r="R22" s="25"/>
      <c r="S22" s="25"/>
      <c r="T22" s="25"/>
      <c r="U22" s="25"/>
      <c r="V22" s="25"/>
      <c r="W22" s="25"/>
    </row>
    <row r="23" spans="2:23" x14ac:dyDescent="0.25">
      <c r="C23" s="25"/>
      <c r="D23" s="25"/>
      <c r="E23" s="25"/>
      <c r="F23" s="25"/>
      <c r="G23" s="25"/>
      <c r="H23" s="25"/>
      <c r="I23" s="25"/>
      <c r="J23" s="25"/>
      <c r="K23" s="25"/>
      <c r="L23" s="25"/>
      <c r="Q23" s="25"/>
      <c r="R23" s="25"/>
      <c r="S23" s="25"/>
      <c r="T23" s="25"/>
      <c r="U23" s="25"/>
      <c r="V23" s="25"/>
      <c r="W23" s="25"/>
    </row>
    <row r="24" spans="2:23" x14ac:dyDescent="0.25">
      <c r="C24" s="25"/>
      <c r="D24" s="25"/>
      <c r="E24" s="25"/>
      <c r="F24" s="25"/>
      <c r="G24" s="25"/>
      <c r="H24" s="25"/>
      <c r="I24" s="25"/>
      <c r="J24" s="25"/>
      <c r="K24" s="25"/>
      <c r="L24" s="25"/>
      <c r="Q24" s="25"/>
      <c r="R24" s="25"/>
      <c r="S24" s="25"/>
      <c r="T24" s="25"/>
      <c r="U24" s="25"/>
      <c r="V24" s="25"/>
      <c r="W24" s="25"/>
    </row>
    <row r="25" spans="2:23" x14ac:dyDescent="0.25">
      <c r="C25" s="25"/>
      <c r="D25" s="25"/>
      <c r="E25" s="25"/>
      <c r="F25" s="25"/>
      <c r="G25" s="25"/>
      <c r="H25" s="25"/>
      <c r="I25" s="25"/>
      <c r="J25" s="25"/>
      <c r="K25" s="25"/>
      <c r="L25" s="25"/>
      <c r="Q25" s="25"/>
      <c r="R25" s="25"/>
      <c r="S25" s="25"/>
      <c r="T25" s="25"/>
      <c r="U25" s="25"/>
      <c r="V25" s="25"/>
      <c r="W25" s="25"/>
    </row>
    <row r="26" spans="2:23" x14ac:dyDescent="0.25">
      <c r="C26" s="25"/>
      <c r="D26" s="25"/>
      <c r="E26" s="25"/>
      <c r="F26" s="25"/>
      <c r="G26" s="25"/>
      <c r="H26" s="25"/>
      <c r="I26" s="25"/>
      <c r="J26" s="25"/>
      <c r="K26" s="25"/>
      <c r="L26" s="25"/>
    </row>
    <row r="27" spans="2:23" x14ac:dyDescent="0.25">
      <c r="C27" s="25"/>
      <c r="D27" s="25"/>
      <c r="E27" s="25"/>
      <c r="F27" s="25"/>
      <c r="G27" s="25"/>
      <c r="H27" s="25"/>
      <c r="I27" s="25"/>
      <c r="J27" s="25"/>
      <c r="K27" s="25"/>
      <c r="L27" s="25"/>
    </row>
    <row r="28" spans="2:23" x14ac:dyDescent="0.25">
      <c r="C28" s="25"/>
      <c r="D28" s="25"/>
      <c r="E28" s="25"/>
      <c r="F28" s="25"/>
      <c r="G28" s="25"/>
      <c r="H28" s="25"/>
      <c r="I28" s="25"/>
      <c r="J28" s="25"/>
      <c r="K28" s="25"/>
      <c r="L28" s="25"/>
    </row>
    <row r="29" spans="2:23" x14ac:dyDescent="0.25">
      <c r="C29" s="25"/>
      <c r="D29" s="25"/>
      <c r="E29" s="25"/>
      <c r="F29" s="25"/>
      <c r="G29" s="25"/>
      <c r="H29" s="25"/>
      <c r="I29" s="25"/>
      <c r="J29" s="25"/>
      <c r="K29" s="25"/>
      <c r="L29" s="25"/>
    </row>
    <row r="30" spans="2:23" x14ac:dyDescent="0.25">
      <c r="C30" s="25"/>
      <c r="D30" s="25"/>
      <c r="E30" s="25"/>
      <c r="F30" s="25"/>
      <c r="G30" s="25"/>
      <c r="H30" s="25"/>
      <c r="I30" s="25"/>
      <c r="J30" s="25"/>
      <c r="K30" s="25"/>
      <c r="L30" s="25"/>
    </row>
    <row r="31" spans="2:23" x14ac:dyDescent="0.25">
      <c r="C31" s="25"/>
      <c r="D31" s="25"/>
      <c r="E31" s="25"/>
      <c r="F31" s="25"/>
      <c r="G31" s="25"/>
      <c r="H31" s="25"/>
      <c r="I31" s="25"/>
      <c r="J31" s="25"/>
      <c r="K31" s="25"/>
      <c r="L31" s="25"/>
    </row>
    <row r="32" spans="2:23" x14ac:dyDescent="0.25">
      <c r="C32" s="25"/>
      <c r="D32" s="25"/>
      <c r="E32" s="25"/>
      <c r="F32" s="25"/>
      <c r="G32" s="25"/>
      <c r="H32" s="25"/>
      <c r="I32" s="25"/>
      <c r="J32" s="25"/>
      <c r="K32" s="25"/>
      <c r="L32" s="25"/>
    </row>
    <row r="33" spans="3:12" x14ac:dyDescent="0.25">
      <c r="C33" s="25"/>
      <c r="D33" s="25"/>
      <c r="E33" s="25"/>
      <c r="F33" s="25"/>
      <c r="G33" s="25"/>
      <c r="H33" s="25"/>
      <c r="I33" s="25"/>
      <c r="J33" s="25"/>
      <c r="K33" s="25"/>
      <c r="L33" s="25"/>
    </row>
    <row r="34" spans="3:12" x14ac:dyDescent="0.25">
      <c r="C34" s="25"/>
      <c r="D34" s="25"/>
      <c r="E34" s="25"/>
      <c r="F34" s="25"/>
      <c r="G34" s="25"/>
      <c r="H34" s="25"/>
      <c r="I34" s="25"/>
      <c r="J34" s="25"/>
      <c r="K34" s="25"/>
      <c r="L34" s="25"/>
    </row>
    <row r="35" spans="3:12" x14ac:dyDescent="0.25">
      <c r="C35" s="25"/>
      <c r="D35" s="25"/>
      <c r="E35" s="25"/>
      <c r="F35" s="25"/>
      <c r="G35" s="25"/>
      <c r="H35" s="25"/>
      <c r="I35" s="25"/>
      <c r="J35" s="25"/>
      <c r="K35" s="25"/>
      <c r="L35" s="25"/>
    </row>
    <row r="36" spans="3:12" x14ac:dyDescent="0.25">
      <c r="C36" s="25"/>
      <c r="D36" s="25"/>
      <c r="E36" s="25"/>
      <c r="F36" s="25"/>
      <c r="G36" s="25"/>
      <c r="H36" s="25"/>
      <c r="I36" s="25"/>
      <c r="J36" s="25"/>
      <c r="K36" s="25"/>
      <c r="L36" s="25"/>
    </row>
    <row r="37" spans="3:12" x14ac:dyDescent="0.25">
      <c r="C37" s="25"/>
      <c r="D37" s="25"/>
      <c r="E37" s="25"/>
      <c r="F37" s="25"/>
      <c r="G37" s="25"/>
      <c r="H37" s="25"/>
      <c r="I37" s="25"/>
      <c r="J37" s="25"/>
      <c r="K37" s="25"/>
      <c r="L37" s="25"/>
    </row>
    <row r="38" spans="3:12" x14ac:dyDescent="0.25">
      <c r="C38" s="25"/>
      <c r="D38" s="25"/>
      <c r="E38" s="25"/>
      <c r="F38" s="25"/>
      <c r="G38" s="25"/>
      <c r="H38" s="25"/>
      <c r="I38" s="25"/>
      <c r="J38" s="25"/>
      <c r="K38" s="25"/>
      <c r="L38" s="25"/>
    </row>
    <row r="39" spans="3:12" x14ac:dyDescent="0.25">
      <c r="C39" s="25"/>
      <c r="D39" s="25"/>
      <c r="E39" s="25"/>
      <c r="F39" s="25"/>
      <c r="G39" s="25"/>
      <c r="H39" s="25"/>
      <c r="I39" s="25"/>
      <c r="J39" s="25"/>
      <c r="K39" s="25"/>
      <c r="L39" s="25"/>
    </row>
    <row r="40" spans="3:12" x14ac:dyDescent="0.25">
      <c r="C40" s="25"/>
      <c r="D40" s="25"/>
      <c r="E40" s="25"/>
      <c r="F40" s="25"/>
      <c r="G40" s="25"/>
      <c r="H40" s="25"/>
      <c r="I40" s="25"/>
      <c r="J40" s="25"/>
      <c r="K40" s="25"/>
      <c r="L40" s="25"/>
    </row>
    <row r="41" spans="3:12" x14ac:dyDescent="0.25">
      <c r="C41" s="25"/>
      <c r="D41" s="25"/>
      <c r="E41" s="25"/>
      <c r="F41" s="25"/>
      <c r="G41" s="25"/>
      <c r="H41" s="25"/>
      <c r="I41" s="25"/>
      <c r="J41" s="25"/>
      <c r="K41" s="25"/>
      <c r="L41" s="25"/>
    </row>
    <row r="42" spans="3:12" x14ac:dyDescent="0.25">
      <c r="C42" s="25"/>
      <c r="D42" s="25"/>
      <c r="E42" s="25"/>
      <c r="F42" s="25"/>
      <c r="G42" s="25"/>
      <c r="H42" s="25"/>
      <c r="I42" s="25"/>
      <c r="J42" s="25"/>
      <c r="K42" s="25"/>
      <c r="L42" s="25"/>
    </row>
    <row r="43" spans="3:12" x14ac:dyDescent="0.25">
      <c r="C43" s="25"/>
      <c r="D43" s="25"/>
      <c r="E43" s="25"/>
      <c r="F43" s="25"/>
      <c r="G43" s="25"/>
      <c r="H43" s="25"/>
      <c r="I43" s="25"/>
      <c r="J43" s="25"/>
      <c r="K43" s="25"/>
      <c r="L43" s="25"/>
    </row>
    <row r="44" spans="3:12" x14ac:dyDescent="0.25">
      <c r="C44" s="25"/>
      <c r="D44" s="25"/>
      <c r="E44" s="25"/>
      <c r="F44" s="25"/>
      <c r="G44" s="25"/>
      <c r="H44" s="25"/>
      <c r="I44" s="25"/>
      <c r="J44" s="25"/>
      <c r="K44" s="25"/>
      <c r="L44" s="25"/>
    </row>
    <row r="45" spans="3:12" x14ac:dyDescent="0.25">
      <c r="C45" s="25"/>
      <c r="D45" s="25"/>
      <c r="E45" s="25"/>
      <c r="F45" s="25"/>
      <c r="G45" s="25"/>
      <c r="H45" s="25"/>
      <c r="I45" s="25"/>
      <c r="J45" s="25"/>
      <c r="K45" s="25"/>
      <c r="L45" s="25"/>
    </row>
    <row r="46" spans="3:12" x14ac:dyDescent="0.25">
      <c r="C46" s="25"/>
      <c r="D46" s="25"/>
      <c r="E46" s="25"/>
      <c r="F46" s="25"/>
      <c r="G46" s="25"/>
      <c r="H46" s="25"/>
      <c r="I46" s="25"/>
      <c r="J46" s="25"/>
      <c r="K46" s="25"/>
      <c r="L46" s="25"/>
    </row>
    <row r="47" spans="3:12" x14ac:dyDescent="0.25">
      <c r="C47" s="25"/>
      <c r="D47" s="25"/>
      <c r="E47" s="25"/>
      <c r="F47" s="25"/>
      <c r="G47" s="25"/>
      <c r="H47" s="25"/>
      <c r="I47" s="25"/>
      <c r="J47" s="25"/>
      <c r="K47" s="25"/>
      <c r="L47" s="25"/>
    </row>
    <row r="48" spans="3:12" x14ac:dyDescent="0.25">
      <c r="C48" s="25"/>
      <c r="D48" s="25"/>
      <c r="E48" s="25"/>
      <c r="F48" s="25"/>
      <c r="G48" s="25"/>
      <c r="H48" s="25"/>
      <c r="I48" s="25"/>
      <c r="J48" s="25"/>
      <c r="K48" s="25"/>
      <c r="L48" s="25"/>
    </row>
    <row r="49" spans="3:12" x14ac:dyDescent="0.25">
      <c r="C49" s="25"/>
      <c r="D49" s="25"/>
      <c r="E49" s="25"/>
      <c r="F49" s="25"/>
      <c r="G49" s="25"/>
      <c r="H49" s="25"/>
      <c r="I49" s="25"/>
      <c r="J49" s="25"/>
      <c r="K49" s="25"/>
      <c r="L49" s="25"/>
    </row>
    <row r="50" spans="3:12" x14ac:dyDescent="0.25">
      <c r="C50" s="25"/>
      <c r="D50" s="25"/>
      <c r="E50" s="25"/>
      <c r="F50" s="25"/>
      <c r="G50" s="25"/>
      <c r="H50" s="25"/>
      <c r="I50" s="25"/>
      <c r="J50" s="25"/>
      <c r="K50" s="25"/>
      <c r="L50" s="25"/>
    </row>
    <row r="51" spans="3:12" x14ac:dyDescent="0.25">
      <c r="C51" s="25"/>
      <c r="D51" s="25"/>
      <c r="E51" s="25"/>
      <c r="F51" s="25"/>
      <c r="G51" s="25"/>
      <c r="H51" s="25"/>
      <c r="I51" s="25"/>
      <c r="J51" s="25"/>
      <c r="K51" s="25"/>
      <c r="L51" s="25"/>
    </row>
  </sheetData>
  <mergeCells count="4">
    <mergeCell ref="C4:F4"/>
    <mergeCell ref="I4:I5"/>
    <mergeCell ref="B2:C2"/>
    <mergeCell ref="J4:J5"/>
  </mergeCells>
  <phoneticPr fontId="2" type="noConversion"/>
  <dataValidations count="1">
    <dataValidation type="list" allowBlank="1" showInputMessage="1" showErrorMessage="1" sqref="I18:I22 I15:I16 I12:I13 I6:I8" xr:uid="{124D7848-0B4F-9A42-B1AB-68939E928F58}">
      <formula1>$S$4:$S$5</formula1>
    </dataValidation>
  </dataValidations>
  <hyperlinks>
    <hyperlink ref="B2" location="Tilakokonaisuus!A1" display="PALAA ETUSIVULLE" xr:uid="{D15B8BF4-1900-4D6C-B32D-589F2D092044}"/>
    <hyperlink ref="B2:C2" location="'Gårdens info'!A1" display="TILL FRAMSIDAN" xr:uid="{D5ECA802-4054-47C4-B741-0DC1F2231B27}"/>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79998168889431442"/>
  </sheetPr>
  <dimension ref="A2:DR80"/>
  <sheetViews>
    <sheetView topLeftCell="A39" zoomScale="80" zoomScaleNormal="80" workbookViewId="0">
      <selection activeCell="B70" sqref="B70"/>
    </sheetView>
  </sheetViews>
  <sheetFormatPr defaultColWidth="11.44140625" defaultRowHeight="13.2" x14ac:dyDescent="0.25"/>
  <cols>
    <col min="1" max="1" width="3.6640625" customWidth="1"/>
    <col min="2" max="2" width="47.109375" customWidth="1"/>
    <col min="3" max="3" width="12.109375" customWidth="1"/>
    <col min="4" max="4" width="8.109375" customWidth="1"/>
    <col min="5" max="5" width="10.44140625" bestFit="1" customWidth="1"/>
    <col min="6" max="6" width="10.6640625" bestFit="1" customWidth="1"/>
    <col min="7" max="7" width="7.109375" customWidth="1"/>
    <col min="8" max="8" width="12.109375" customWidth="1"/>
    <col min="9" max="9" width="10.44140625" customWidth="1"/>
    <col min="10" max="10" width="9.44140625" customWidth="1"/>
    <col min="11" max="11" width="9.6640625" customWidth="1"/>
    <col min="12" max="12" width="11.33203125" customWidth="1"/>
    <col min="13" max="13" width="6.109375" bestFit="1" customWidth="1"/>
    <col min="14" max="14" width="6.6640625" bestFit="1" customWidth="1"/>
    <col min="15" max="15" width="12.6640625" bestFit="1" customWidth="1"/>
    <col min="16" max="20" width="12.6640625" customWidth="1"/>
    <col min="21" max="21" width="18.77734375" customWidth="1"/>
    <col min="22" max="22" width="17.44140625" bestFit="1" customWidth="1"/>
    <col min="23" max="23" width="18.6640625" bestFit="1" customWidth="1"/>
    <col min="24" max="24" width="16.6640625" bestFit="1" customWidth="1"/>
    <col min="25" max="25" width="15.6640625" bestFit="1" customWidth="1"/>
    <col min="26" max="26" width="17" bestFit="1" customWidth="1"/>
    <col min="27" max="28" width="7.33203125" bestFit="1" customWidth="1"/>
    <col min="29" max="29" width="6" bestFit="1" customWidth="1"/>
    <col min="30" max="30" width="7" bestFit="1" customWidth="1"/>
    <col min="31" max="31" width="7" customWidth="1"/>
    <col min="32" max="32" width="20.6640625" bestFit="1" customWidth="1"/>
    <col min="33" max="33" width="6.44140625" bestFit="1" customWidth="1"/>
    <col min="34" max="34" width="11.6640625" customWidth="1"/>
    <col min="35" max="35" width="10.77734375" bestFit="1" customWidth="1"/>
    <col min="36" max="36" width="6.109375" bestFit="1" customWidth="1"/>
    <col min="37" max="37" width="6.6640625" bestFit="1" customWidth="1"/>
    <col min="38" max="43" width="6.6640625" customWidth="1"/>
    <col min="44" max="44" width="11.6640625" customWidth="1"/>
    <col min="45" max="45" width="17.44140625" bestFit="1" customWidth="1"/>
    <col min="46" max="46" width="18.6640625" bestFit="1" customWidth="1"/>
    <col min="47" max="47" width="16.6640625" bestFit="1" customWidth="1"/>
    <col min="48" max="48" width="15.6640625" bestFit="1" customWidth="1"/>
    <col min="49" max="49" width="17" bestFit="1" customWidth="1"/>
    <col min="50" max="51" width="7.33203125" bestFit="1" customWidth="1"/>
    <col min="52" max="52" width="6" bestFit="1" customWidth="1"/>
    <col min="53" max="53" width="7" bestFit="1" customWidth="1"/>
    <col min="54" max="54" width="7" customWidth="1"/>
    <col min="55" max="55" width="20.77734375" customWidth="1"/>
    <col min="56" max="56" width="6.44140625" bestFit="1" customWidth="1"/>
    <col min="57" max="57" width="10.77734375" bestFit="1" customWidth="1"/>
    <col min="58" max="58" width="6.109375" bestFit="1" customWidth="1"/>
    <col min="59" max="59" width="6.6640625" bestFit="1" customWidth="1"/>
    <col min="60" max="65" width="6.6640625" customWidth="1"/>
    <col min="66" max="66" width="13.6640625" customWidth="1"/>
    <col min="67" max="67" width="12.33203125" customWidth="1"/>
    <col min="68" max="68" width="13.109375" customWidth="1"/>
    <col min="69" max="69" width="16.6640625" bestFit="1" customWidth="1"/>
    <col min="70" max="70" width="15.6640625" bestFit="1" customWidth="1"/>
    <col min="71" max="71" width="17" bestFit="1" customWidth="1"/>
    <col min="72" max="73" width="7.33203125" bestFit="1" customWidth="1"/>
    <col min="74" max="74" width="6" bestFit="1" customWidth="1"/>
    <col min="75" max="75" width="7" bestFit="1" customWidth="1"/>
    <col min="76" max="76" width="7" customWidth="1"/>
    <col min="77" max="77" width="14" customWidth="1"/>
    <col min="78" max="78" width="6.44140625" bestFit="1" customWidth="1"/>
    <col min="79" max="79" width="10.77734375" bestFit="1" customWidth="1"/>
    <col min="80" max="80" width="6.109375" bestFit="1" customWidth="1"/>
    <col min="81" max="81" width="6.6640625" bestFit="1" customWidth="1"/>
    <col min="82" max="87" width="6.6640625" customWidth="1"/>
    <col min="88" max="89" width="11.44140625" customWidth="1"/>
    <col min="90" max="90" width="14.6640625" customWidth="1"/>
    <col min="91" max="91" width="14.33203125" customWidth="1"/>
    <col min="92" max="92" width="13.44140625" customWidth="1"/>
    <col min="93" max="93" width="10.33203125" customWidth="1"/>
    <col min="94" max="95" width="7.33203125" bestFit="1" customWidth="1"/>
    <col min="96" max="96" width="6" bestFit="1" customWidth="1"/>
    <col min="97" max="97" width="7" bestFit="1" customWidth="1"/>
    <col min="98" max="98" width="7" customWidth="1"/>
    <col min="99" max="99" width="11.44140625" customWidth="1"/>
    <col min="100" max="100" width="6.44140625" bestFit="1" customWidth="1"/>
    <col min="101" max="101" width="10.77734375" bestFit="1" customWidth="1"/>
    <col min="102" max="102" width="7.109375" customWidth="1"/>
    <col min="103" max="103" width="6.6640625" bestFit="1" customWidth="1"/>
    <col min="104" max="109" width="6.6640625" customWidth="1"/>
    <col min="110" max="110" width="12.33203125" customWidth="1"/>
    <col min="111" max="111" width="15.44140625" customWidth="1"/>
    <col min="112" max="112" width="11.33203125" customWidth="1"/>
    <col min="113" max="113" width="14.6640625" customWidth="1"/>
    <col min="114" max="114" width="14.33203125" customWidth="1"/>
    <col min="115" max="115" width="15.6640625" customWidth="1"/>
    <col min="116" max="116" width="7.109375" customWidth="1"/>
    <col min="117" max="117" width="7.33203125" bestFit="1" customWidth="1"/>
    <col min="118" max="118" width="6" bestFit="1" customWidth="1"/>
    <col min="119" max="119" width="7" bestFit="1" customWidth="1"/>
    <col min="120" max="120" width="7" customWidth="1"/>
    <col min="121" max="121" width="13.109375" customWidth="1"/>
    <col min="122" max="344" width="8.77734375" customWidth="1"/>
  </cols>
  <sheetData>
    <row r="2" spans="1:122" ht="21" x14ac:dyDescent="0.4">
      <c r="A2" s="995" t="s">
        <v>653</v>
      </c>
      <c r="B2" s="996"/>
      <c r="C2" s="996"/>
    </row>
    <row r="3" spans="1:122" ht="19.95" customHeight="1" x14ac:dyDescent="0.3">
      <c r="A3" s="976" t="s">
        <v>337</v>
      </c>
      <c r="B3" s="976"/>
    </row>
    <row r="4" spans="1:122" ht="21" x14ac:dyDescent="0.4">
      <c r="A4" s="92"/>
      <c r="B4" s="93"/>
    </row>
    <row r="6" spans="1:122" ht="13.8" thickBot="1" x14ac:dyDescent="0.3">
      <c r="A6" s="6"/>
      <c r="C6" s="509"/>
      <c r="F6" s="6"/>
    </row>
    <row r="7" spans="1:122" ht="13.8" thickBot="1" x14ac:dyDescent="0.3">
      <c r="A7" s="6"/>
      <c r="B7" s="32" t="s">
        <v>654</v>
      </c>
      <c r="C7" s="506">
        <v>2022</v>
      </c>
      <c r="D7" s="22"/>
      <c r="F7" s="6"/>
    </row>
    <row r="8" spans="1:122" ht="13.8" thickBot="1" x14ac:dyDescent="0.3">
      <c r="A8" s="6"/>
      <c r="B8" s="867" t="s">
        <v>655</v>
      </c>
      <c r="C8" s="507">
        <v>0.05</v>
      </c>
      <c r="D8" s="33"/>
      <c r="E8" s="13"/>
      <c r="F8" s="6"/>
      <c r="J8" s="6"/>
      <c r="L8" s="20"/>
      <c r="M8" s="20"/>
      <c r="N8" s="20"/>
      <c r="O8" s="20"/>
      <c r="P8" s="20"/>
      <c r="Q8" s="20"/>
      <c r="R8" s="20"/>
      <c r="S8" s="20"/>
      <c r="T8" s="20"/>
      <c r="U8" s="20"/>
      <c r="V8" s="20"/>
      <c r="W8" s="13"/>
      <c r="X8" s="13"/>
      <c r="Y8" s="13"/>
      <c r="Z8" s="13"/>
      <c r="AA8" s="13"/>
      <c r="AB8" s="13"/>
      <c r="AC8" s="13"/>
      <c r="AD8" s="13"/>
      <c r="AE8" s="13"/>
      <c r="AF8" s="13"/>
      <c r="AG8" s="13"/>
      <c r="AH8" s="13"/>
      <c r="AI8" s="20"/>
      <c r="AJ8" s="20"/>
      <c r="AK8" s="20"/>
      <c r="AL8" s="20"/>
      <c r="AM8" s="20"/>
      <c r="AN8" s="20"/>
      <c r="AO8" s="20"/>
      <c r="AP8" s="20"/>
      <c r="AQ8" s="20"/>
      <c r="AR8" s="20"/>
      <c r="AS8" s="13"/>
      <c r="AT8" s="13"/>
      <c r="AU8" s="13"/>
      <c r="AV8" s="13"/>
      <c r="AW8" s="13"/>
      <c r="AX8" s="13"/>
      <c r="AY8" s="13"/>
      <c r="AZ8" s="13"/>
      <c r="BA8" s="13"/>
      <c r="BB8" s="13"/>
      <c r="BC8" s="13"/>
      <c r="BD8" s="13"/>
      <c r="BE8" s="13"/>
      <c r="BF8" s="13"/>
      <c r="BG8" s="13"/>
      <c r="BH8" s="13"/>
      <c r="BI8" s="13"/>
      <c r="BJ8" s="13"/>
      <c r="BK8" s="13"/>
      <c r="BL8" s="13"/>
      <c r="BM8" s="13"/>
      <c r="BN8" s="13"/>
    </row>
    <row r="9" spans="1:122" ht="13.8" thickBot="1" x14ac:dyDescent="0.3">
      <c r="A9" s="6"/>
      <c r="B9" s="34" t="s">
        <v>656</v>
      </c>
      <c r="C9" s="699">
        <v>2E-3</v>
      </c>
      <c r="D9" s="35"/>
      <c r="E9" s="31"/>
      <c r="F9" s="6"/>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row>
    <row r="10" spans="1:122" x14ac:dyDescent="0.25">
      <c r="A10" s="6"/>
      <c r="F10" s="519"/>
      <c r="I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row>
    <row r="11" spans="1:122" ht="52.8" x14ac:dyDescent="0.25">
      <c r="A11" s="30"/>
      <c r="B11" s="10"/>
      <c r="C11" s="11"/>
      <c r="D11" s="10"/>
      <c r="E11" s="11" t="s">
        <v>678</v>
      </c>
      <c r="G11" s="10"/>
      <c r="H11" s="12" t="s">
        <v>679</v>
      </c>
      <c r="I11" s="12" t="s">
        <v>680</v>
      </c>
      <c r="J11" s="12" t="s">
        <v>681</v>
      </c>
      <c r="K11" s="12" t="s">
        <v>682</v>
      </c>
      <c r="L11" s="997" t="s">
        <v>683</v>
      </c>
      <c r="M11" s="998"/>
      <c r="N11" s="998"/>
      <c r="O11" s="998"/>
      <c r="P11" s="998"/>
      <c r="Q11" s="998"/>
      <c r="R11" s="998"/>
      <c r="S11" s="998"/>
      <c r="T11" s="998"/>
      <c r="U11" s="998"/>
      <c r="V11" s="998"/>
      <c r="W11" s="998"/>
      <c r="X11" s="998"/>
      <c r="Y11" s="998"/>
      <c r="Z11" s="998"/>
      <c r="AA11" s="998"/>
      <c r="AB11" s="998"/>
      <c r="AC11" s="998"/>
      <c r="AD11" s="998"/>
      <c r="AE11" s="998"/>
      <c r="AF11" s="998"/>
      <c r="AG11" s="998"/>
      <c r="AH11" s="56" t="s">
        <v>692</v>
      </c>
      <c r="AI11" s="999" t="s">
        <v>697</v>
      </c>
      <c r="AJ11" s="1000"/>
      <c r="AK11" s="1000"/>
      <c r="AL11" s="1000"/>
      <c r="AM11" s="1000"/>
      <c r="AN11" s="1000"/>
      <c r="AO11" s="1000"/>
      <c r="AP11" s="1000"/>
      <c r="AQ11" s="1000"/>
      <c r="AR11" s="1000"/>
      <c r="AS11" s="1000"/>
      <c r="AT11" s="1000"/>
      <c r="AU11" s="1000"/>
      <c r="AV11" s="1000"/>
      <c r="AW11" s="1000"/>
      <c r="AX11" s="1000"/>
      <c r="AY11" s="1000"/>
      <c r="AZ11" s="1000"/>
      <c r="BA11" s="1000"/>
      <c r="BB11" s="1000"/>
      <c r="BC11" s="1000"/>
      <c r="BD11" s="1001"/>
      <c r="BE11" s="1002" t="s">
        <v>696</v>
      </c>
      <c r="BF11" s="993"/>
      <c r="BG11" s="993"/>
      <c r="BH11" s="993"/>
      <c r="BI11" s="993"/>
      <c r="BJ11" s="993"/>
      <c r="BK11" s="993"/>
      <c r="BL11" s="993"/>
      <c r="BM11" s="993"/>
      <c r="BN11" s="993"/>
      <c r="BO11" s="993"/>
      <c r="BP11" s="993"/>
      <c r="BQ11" s="993"/>
      <c r="BR11" s="993"/>
      <c r="BS11" s="993"/>
      <c r="BT11" s="993"/>
      <c r="BU11" s="993"/>
      <c r="BV11" s="993"/>
      <c r="BW11" s="993"/>
      <c r="BX11" s="993"/>
      <c r="BY11" s="993"/>
      <c r="BZ11" s="994"/>
      <c r="CA11" s="1003" t="s">
        <v>695</v>
      </c>
      <c r="CB11" s="1004"/>
      <c r="CC11" s="1004"/>
      <c r="CD11" s="1004"/>
      <c r="CE11" s="1004"/>
      <c r="CF11" s="1004"/>
      <c r="CG11" s="1004"/>
      <c r="CH11" s="1004"/>
      <c r="CI11" s="1004"/>
      <c r="CJ11" s="1004"/>
      <c r="CK11" s="1004"/>
      <c r="CL11" s="1004"/>
      <c r="CM11" s="1004"/>
      <c r="CN11" s="1004"/>
      <c r="CO11" s="1004"/>
      <c r="CP11" s="1004"/>
      <c r="CQ11" s="1004"/>
      <c r="CR11" s="1004"/>
      <c r="CS11" s="1004"/>
      <c r="CT11" s="1004"/>
      <c r="CU11" s="1004"/>
      <c r="CV11" s="1005"/>
      <c r="CW11" s="992" t="s">
        <v>694</v>
      </c>
      <c r="CX11" s="993"/>
      <c r="CY11" s="993"/>
      <c r="CZ11" s="993"/>
      <c r="DA11" s="993"/>
      <c r="DB11" s="993"/>
      <c r="DC11" s="993"/>
      <c r="DD11" s="993"/>
      <c r="DE11" s="993"/>
      <c r="DF11" s="993"/>
      <c r="DG11" s="993"/>
      <c r="DH11" s="993"/>
      <c r="DI11" s="993"/>
      <c r="DJ11" s="993"/>
      <c r="DK11" s="993"/>
      <c r="DL11" s="993"/>
      <c r="DM11" s="993"/>
      <c r="DN11" s="993"/>
      <c r="DO11" s="993"/>
      <c r="DP11" s="993"/>
      <c r="DQ11" s="993"/>
      <c r="DR11" s="994"/>
    </row>
    <row r="12" spans="1:122" s="14" customFormat="1" ht="26.25" customHeight="1" x14ac:dyDescent="0.25">
      <c r="A12" s="11"/>
      <c r="B12" s="11"/>
      <c r="C12" s="11"/>
      <c r="D12" s="11"/>
      <c r="E12" s="11"/>
      <c r="F12" s="11"/>
      <c r="G12" s="12"/>
      <c r="H12" s="12"/>
      <c r="I12" s="12"/>
      <c r="J12" s="11"/>
      <c r="K12" s="11"/>
      <c r="L12" s="483" t="s">
        <v>202</v>
      </c>
      <c r="M12" s="484" t="s">
        <v>203</v>
      </c>
      <c r="N12" s="485" t="s">
        <v>204</v>
      </c>
      <c r="O12" s="728" t="s">
        <v>684</v>
      </c>
      <c r="P12" s="807" t="s">
        <v>685</v>
      </c>
      <c r="Q12" s="807" t="s">
        <v>686</v>
      </c>
      <c r="R12" s="808" t="s">
        <v>687</v>
      </c>
      <c r="S12" s="809" t="s">
        <v>688</v>
      </c>
      <c r="T12" s="810" t="s">
        <v>689</v>
      </c>
      <c r="U12" s="494" t="s">
        <v>211</v>
      </c>
      <c r="V12" s="504" t="s">
        <v>212</v>
      </c>
      <c r="W12" s="490" t="s">
        <v>213</v>
      </c>
      <c r="X12" s="635" t="s">
        <v>214</v>
      </c>
      <c r="Y12" s="491" t="s">
        <v>690</v>
      </c>
      <c r="Z12" s="359" t="s">
        <v>216</v>
      </c>
      <c r="AA12" s="503" t="s">
        <v>198</v>
      </c>
      <c r="AB12" s="502" t="s">
        <v>217</v>
      </c>
      <c r="AC12" s="486" t="s">
        <v>218</v>
      </c>
      <c r="AD12" s="487" t="s">
        <v>219</v>
      </c>
      <c r="AE12" s="731" t="s">
        <v>220</v>
      </c>
      <c r="AF12" s="488" t="s">
        <v>691</v>
      </c>
      <c r="AG12" s="489" t="s">
        <v>221</v>
      </c>
      <c r="AH12" s="57" t="s">
        <v>693</v>
      </c>
      <c r="AI12" s="483" t="s">
        <v>202</v>
      </c>
      <c r="AJ12" s="484" t="s">
        <v>203</v>
      </c>
      <c r="AK12" s="485" t="s">
        <v>204</v>
      </c>
      <c r="AL12" s="728" t="s">
        <v>684</v>
      </c>
      <c r="AM12" s="807" t="s">
        <v>685</v>
      </c>
      <c r="AN12" s="807" t="s">
        <v>686</v>
      </c>
      <c r="AO12" s="808" t="s">
        <v>687</v>
      </c>
      <c r="AP12" s="809" t="s">
        <v>688</v>
      </c>
      <c r="AQ12" s="810" t="s">
        <v>689</v>
      </c>
      <c r="AR12" s="494" t="s">
        <v>211</v>
      </c>
      <c r="AS12" s="504" t="s">
        <v>212</v>
      </c>
      <c r="AT12" s="490" t="s">
        <v>213</v>
      </c>
      <c r="AU12" s="635" t="s">
        <v>214</v>
      </c>
      <c r="AV12" s="491" t="s">
        <v>690</v>
      </c>
      <c r="AW12" s="359" t="s">
        <v>216</v>
      </c>
      <c r="AX12" s="503" t="s">
        <v>198</v>
      </c>
      <c r="AY12" s="502" t="s">
        <v>217</v>
      </c>
      <c r="AZ12" s="486" t="s">
        <v>218</v>
      </c>
      <c r="BA12" s="487" t="s">
        <v>219</v>
      </c>
      <c r="BB12" s="731" t="s">
        <v>220</v>
      </c>
      <c r="BC12" s="488" t="s">
        <v>691</v>
      </c>
      <c r="BD12" s="489" t="s">
        <v>221</v>
      </c>
      <c r="BE12" s="483" t="s">
        <v>202</v>
      </c>
      <c r="BF12" s="484" t="s">
        <v>203</v>
      </c>
      <c r="BG12" s="485" t="s">
        <v>204</v>
      </c>
      <c r="BH12" s="728" t="s">
        <v>684</v>
      </c>
      <c r="BI12" s="807" t="s">
        <v>685</v>
      </c>
      <c r="BJ12" s="807" t="s">
        <v>686</v>
      </c>
      <c r="BK12" s="808" t="s">
        <v>687</v>
      </c>
      <c r="BL12" s="809" t="s">
        <v>688</v>
      </c>
      <c r="BM12" s="810" t="s">
        <v>689</v>
      </c>
      <c r="BN12" s="494" t="s">
        <v>211</v>
      </c>
      <c r="BO12" s="504" t="s">
        <v>212</v>
      </c>
      <c r="BP12" s="490" t="s">
        <v>213</v>
      </c>
      <c r="BQ12" s="635" t="s">
        <v>214</v>
      </c>
      <c r="BR12" s="491" t="s">
        <v>690</v>
      </c>
      <c r="BS12" s="359" t="s">
        <v>216</v>
      </c>
      <c r="BT12" s="503" t="s">
        <v>198</v>
      </c>
      <c r="BU12" s="502" t="s">
        <v>217</v>
      </c>
      <c r="BV12" s="486" t="s">
        <v>218</v>
      </c>
      <c r="BW12" s="487" t="s">
        <v>219</v>
      </c>
      <c r="BX12" s="731" t="s">
        <v>220</v>
      </c>
      <c r="BY12" s="488" t="s">
        <v>691</v>
      </c>
      <c r="BZ12" s="489" t="s">
        <v>221</v>
      </c>
      <c r="CA12" s="483" t="s">
        <v>202</v>
      </c>
      <c r="CB12" s="484" t="s">
        <v>203</v>
      </c>
      <c r="CC12" s="485" t="s">
        <v>204</v>
      </c>
      <c r="CD12" s="728" t="s">
        <v>684</v>
      </c>
      <c r="CE12" s="807" t="s">
        <v>685</v>
      </c>
      <c r="CF12" s="807" t="s">
        <v>686</v>
      </c>
      <c r="CG12" s="808" t="s">
        <v>687</v>
      </c>
      <c r="CH12" s="809" t="s">
        <v>688</v>
      </c>
      <c r="CI12" s="810" t="s">
        <v>689</v>
      </c>
      <c r="CJ12" s="494" t="s">
        <v>211</v>
      </c>
      <c r="CK12" s="504" t="s">
        <v>212</v>
      </c>
      <c r="CL12" s="490" t="s">
        <v>213</v>
      </c>
      <c r="CM12" s="635" t="s">
        <v>214</v>
      </c>
      <c r="CN12" s="491" t="s">
        <v>690</v>
      </c>
      <c r="CO12" s="359" t="s">
        <v>216</v>
      </c>
      <c r="CP12" s="503" t="s">
        <v>198</v>
      </c>
      <c r="CQ12" s="502" t="s">
        <v>217</v>
      </c>
      <c r="CR12" s="486" t="s">
        <v>218</v>
      </c>
      <c r="CS12" s="487" t="s">
        <v>219</v>
      </c>
      <c r="CT12" s="731" t="s">
        <v>220</v>
      </c>
      <c r="CU12" s="488" t="s">
        <v>691</v>
      </c>
      <c r="CV12" s="489" t="s">
        <v>221</v>
      </c>
      <c r="CW12" s="483" t="s">
        <v>202</v>
      </c>
      <c r="CX12" s="484" t="s">
        <v>203</v>
      </c>
      <c r="CY12" s="485" t="s">
        <v>204</v>
      </c>
      <c r="CZ12" s="728" t="s">
        <v>684</v>
      </c>
      <c r="DA12" s="807" t="s">
        <v>685</v>
      </c>
      <c r="DB12" s="807" t="s">
        <v>686</v>
      </c>
      <c r="DC12" s="808" t="s">
        <v>687</v>
      </c>
      <c r="DD12" s="809" t="s">
        <v>688</v>
      </c>
      <c r="DE12" s="810" t="s">
        <v>689</v>
      </c>
      <c r="DF12" s="494" t="s">
        <v>211</v>
      </c>
      <c r="DG12" s="504" t="s">
        <v>212</v>
      </c>
      <c r="DH12" s="490" t="s">
        <v>213</v>
      </c>
      <c r="DI12" s="635" t="s">
        <v>214</v>
      </c>
      <c r="DJ12" s="491" t="s">
        <v>690</v>
      </c>
      <c r="DK12" s="359" t="s">
        <v>216</v>
      </c>
      <c r="DL12" s="503" t="s">
        <v>198</v>
      </c>
      <c r="DM12" s="502" t="s">
        <v>217</v>
      </c>
      <c r="DN12" s="486" t="s">
        <v>218</v>
      </c>
      <c r="DO12" s="487" t="s">
        <v>219</v>
      </c>
      <c r="DP12" s="731" t="s">
        <v>220</v>
      </c>
      <c r="DQ12" s="488" t="s">
        <v>691</v>
      </c>
      <c r="DR12" s="489" t="s">
        <v>221</v>
      </c>
    </row>
    <row r="13" spans="1:122" ht="13.8" thickBot="1" x14ac:dyDescent="0.3">
      <c r="A13" s="4" t="s">
        <v>149</v>
      </c>
      <c r="C13" s="46"/>
      <c r="H13" s="511"/>
      <c r="J13" s="511"/>
      <c r="K13" s="512"/>
      <c r="L13" s="28"/>
      <c r="M13" s="13"/>
      <c r="N13" s="13"/>
      <c r="O13" s="13"/>
      <c r="P13" s="13"/>
      <c r="Q13" s="13"/>
      <c r="R13" s="13"/>
      <c r="S13" s="13"/>
      <c r="T13" s="13"/>
      <c r="U13" s="13"/>
      <c r="V13" s="13"/>
      <c r="W13" s="47"/>
      <c r="X13" s="47"/>
      <c r="Y13" s="13"/>
      <c r="Z13" s="13"/>
      <c r="AA13" s="13"/>
      <c r="AB13" s="13"/>
      <c r="AC13" s="13"/>
      <c r="AD13" s="13"/>
      <c r="AE13" s="13"/>
      <c r="AF13" s="13"/>
      <c r="AG13" s="13"/>
      <c r="AH13" s="58"/>
      <c r="AI13" s="28"/>
      <c r="AJ13" s="13"/>
      <c r="AK13" s="13"/>
      <c r="AL13" s="13"/>
      <c r="AM13" s="13"/>
      <c r="AN13" s="13"/>
      <c r="AO13" s="13"/>
      <c r="AP13" s="13"/>
      <c r="AQ13" s="13"/>
      <c r="AR13" s="13"/>
      <c r="AS13" s="13"/>
      <c r="AT13" s="13"/>
      <c r="AU13" s="13"/>
      <c r="AV13" s="13"/>
      <c r="AW13" s="13"/>
      <c r="AX13" s="13"/>
      <c r="AY13" s="13"/>
      <c r="AZ13" s="13"/>
      <c r="BA13" s="13"/>
      <c r="BB13" s="13"/>
      <c r="BC13" s="13"/>
      <c r="BD13" s="13"/>
      <c r="BE13" s="28"/>
      <c r="BF13" s="13"/>
      <c r="BG13" s="13"/>
      <c r="BH13" s="13"/>
      <c r="BI13" s="13"/>
      <c r="BJ13" s="13"/>
      <c r="BK13" s="13"/>
      <c r="BL13" s="13"/>
      <c r="BM13" s="13"/>
      <c r="BN13" s="13"/>
      <c r="BO13" s="13"/>
      <c r="BP13" s="13"/>
      <c r="BQ13" s="13"/>
      <c r="BR13" s="13"/>
      <c r="BS13" s="13"/>
      <c r="BT13" s="13"/>
      <c r="BU13" s="13"/>
      <c r="BV13" s="13"/>
      <c r="BW13" s="13"/>
      <c r="BX13" s="13"/>
      <c r="BY13" s="13"/>
      <c r="BZ13" s="13"/>
      <c r="CA13" s="28"/>
      <c r="CB13" s="13"/>
      <c r="CC13" s="13"/>
      <c r="CD13" s="13"/>
      <c r="CE13" s="13"/>
      <c r="CF13" s="13"/>
      <c r="CG13" s="13"/>
      <c r="CH13" s="13"/>
      <c r="CI13" s="13"/>
      <c r="CJ13" s="13"/>
      <c r="CK13" s="13"/>
      <c r="CL13" s="13"/>
      <c r="CM13" s="13"/>
      <c r="CN13" s="13"/>
      <c r="CO13" s="13"/>
      <c r="CP13" s="13"/>
      <c r="CQ13" s="13"/>
      <c r="CR13" s="13"/>
      <c r="CS13" s="13"/>
      <c r="CT13" s="13"/>
      <c r="CU13" s="13"/>
      <c r="CV13" s="13"/>
      <c r="CW13" s="28"/>
      <c r="CX13" s="13"/>
      <c r="CY13" s="47"/>
      <c r="CZ13" s="13"/>
      <c r="DA13" s="13"/>
      <c r="DB13" s="13"/>
      <c r="DC13" s="13"/>
      <c r="DD13" s="13"/>
      <c r="DE13" s="13"/>
      <c r="DF13" s="13"/>
      <c r="DG13" s="13"/>
      <c r="DH13" s="13"/>
      <c r="DI13" s="13"/>
      <c r="DJ13" s="13"/>
      <c r="DR13" s="27"/>
    </row>
    <row r="14" spans="1:122" s="732" customFormat="1" ht="13.8" thickBot="1" x14ac:dyDescent="0.3">
      <c r="B14" s="730" t="str">
        <f>'Gårdens info'!C64</f>
        <v>Inkvarteringsutrymme, 200 m2</v>
      </c>
      <c r="D14" s="730"/>
      <c r="E14" s="733">
        <f>'Gårdens info'!J64</f>
        <v>2000</v>
      </c>
      <c r="F14" s="730"/>
      <c r="G14" s="730"/>
      <c r="H14" s="735">
        <v>25</v>
      </c>
      <c r="I14" s="733">
        <f>'Gårdens info'!D64</f>
        <v>111000</v>
      </c>
      <c r="J14" s="735">
        <v>0</v>
      </c>
      <c r="K14" s="736">
        <v>0.01</v>
      </c>
      <c r="L14" s="738">
        <f>'Gårdens info'!$D$10/('Gårdens info'!$D$10+'Gårdens info'!$D$11+'Gårdens info'!$D$12+'Gårdens info'!$D$13+'Gårdens info'!$D$14+'Gårdens info'!$D$15+'Gårdens info'!$D$16+'Gårdens info'!$D$17+'Gårdens info'!$D$18+'Gårdens info'!$D$22+'Gårdens info'!$D$23+'Gårdens info'!$D$24+'Gårdens info'!$D$25+'Gårdens info'!$D$26+'Gårdens info'!$D$27+'Gårdens info'!$D$28)</f>
        <v>4.1666666666666664E-2</v>
      </c>
      <c r="M14" s="738">
        <f>'Gårdens info'!$D$11/('Gårdens info'!$D$10+'Gårdens info'!$D$11+'Gårdens info'!$D$12+'Gårdens info'!$D$13+'Gårdens info'!$D$14+'Gårdens info'!$D$15+'Gårdens info'!$D$16+'Gårdens info'!$D$17+'Gårdens info'!$D$18+'Gårdens info'!$D$22+'Gårdens info'!$D$23+'Gårdens info'!$D$24+'Gårdens info'!$D$25+'Gårdens info'!$D$26+'Gårdens info'!$D$27+'Gårdens info'!$D$28)</f>
        <v>4.1666666666666664E-2</v>
      </c>
      <c r="N14" s="738">
        <f>'Gårdens info'!$D$12/('Gårdens info'!$D$10+'Gårdens info'!$D$11+'Gårdens info'!$D$12+'Gårdens info'!$D$13+'Gårdens info'!$D$14+'Gårdens info'!$D$15+'Gårdens info'!$D$16+'Gårdens info'!$D$17+'Gårdens info'!$D$18+'Gårdens info'!$D$22+'Gårdens info'!$D$23+'Gårdens info'!$D$24+'Gårdens info'!$D$25+'Gårdens info'!$D$26+'Gårdens info'!$D$27+'Gårdens info'!$D$28)</f>
        <v>4.1666666666666664E-2</v>
      </c>
      <c r="O14" s="738">
        <f>'Gårdens info'!$D$13/('Gårdens info'!$D$10+'Gårdens info'!$D$11+'Gårdens info'!$D$12+'Gårdens info'!$D$13+'Gårdens info'!$D$14+'Gårdens info'!$D$15+'Gårdens info'!$D$16+'Gårdens info'!$D$17+'Gårdens info'!$D$18+'Gårdens info'!$D$22+'Gårdens info'!$D$23+'Gårdens info'!$D$24+'Gårdens info'!$D$25+'Gårdens info'!$D$26+'Gårdens info'!$D$27+'Gårdens info'!$D$28)</f>
        <v>4.1666666666666664E-2</v>
      </c>
      <c r="P14" s="738">
        <f>'Gårdens info'!$D$14/('Gårdens info'!$D$10+'Gårdens info'!$D$11+'Gårdens info'!$D$12+'Gårdens info'!$D$13+'Gårdens info'!$D$14+'Gårdens info'!$D$15+'Gårdens info'!$D$16+'Gårdens info'!$D$17+'Gårdens info'!$D$18+'Gårdens info'!$D$22+'Gårdens info'!$D$23+'Gårdens info'!$D$24+'Gårdens info'!$D$25+'Gårdens info'!$D$26+'Gårdens info'!$D$27+'Gårdens info'!$D$28)</f>
        <v>0</v>
      </c>
      <c r="Q14" s="738">
        <f>'Gårdens info'!$D$15/('Gårdens info'!$D$10+'Gårdens info'!$D$11+'Gårdens info'!$D$12+'Gårdens info'!$D$13+'Gårdens info'!$D$14+'Gårdens info'!$D$15+'Gårdens info'!$D$16+'Gårdens info'!$D$17+'Gårdens info'!$D$18+'Gårdens info'!$D$22+'Gårdens info'!$D$23+'Gårdens info'!$D$24+'Gårdens info'!$D$25+'Gårdens info'!$D$26+'Gårdens info'!$D$27+'Gårdens info'!$D$28)</f>
        <v>0</v>
      </c>
      <c r="R14" s="738">
        <f>'Gårdens info'!$D$16/('Gårdens info'!$D$10+'Gårdens info'!$D$11+'Gårdens info'!$D$12+'Gårdens info'!$D$13+'Gårdens info'!$D$14+'Gårdens info'!$D$15+'Gårdens info'!$D$16+'Gårdens info'!$D$17+'Gårdens info'!$D$18+'Gårdens info'!$D$22+'Gårdens info'!$D$23+'Gårdens info'!$D$24+'Gårdens info'!$D$25+'Gårdens info'!$D$26+'Gårdens info'!$D$27+'Gårdens info'!$D$28)</f>
        <v>0</v>
      </c>
      <c r="S14" s="738">
        <f>'Gårdens info'!$D$17/('Gårdens info'!$D$10+'Gårdens info'!$D$11+'Gårdens info'!$D$12+'Gårdens info'!$D$13+'Gårdens info'!$D$14+'Gårdens info'!$D$15+'Gårdens info'!$D$16+'Gårdens info'!$D$17+'Gårdens info'!$D$18+'Gårdens info'!$D$22+'Gårdens info'!$D$23+'Gårdens info'!$D$24+'Gårdens info'!$D$25+'Gårdens info'!$D$26+'Gårdens info'!$D$27+'Gårdens info'!$D$28)</f>
        <v>0</v>
      </c>
      <c r="T14" s="738">
        <f>'Gårdens info'!$D$18/('Gårdens info'!$D$10+'Gårdens info'!$D$11+'Gårdens info'!$D$12+'Gårdens info'!$D$13+'Gårdens info'!$D$14+'Gårdens info'!$D$15+'Gårdens info'!$D$16+'Gårdens info'!$D$17+'Gårdens info'!$D$18+'Gårdens info'!$D$22+'Gårdens info'!$D$23+'Gårdens info'!$D$24+'Gårdens info'!$D$25+'Gårdens info'!$D$26+'Gårdens info'!$D$27+'Gårdens info'!$D$28)</f>
        <v>0</v>
      </c>
      <c r="U14" s="738">
        <f>'Gårdens info'!$D$22/('Gårdens info'!$D$10+'Gårdens info'!$D$11+'Gårdens info'!$D$12+'Gårdens info'!$D$13+'Gårdens info'!$D$14+'Gårdens info'!$D$15+'Gårdens info'!$D$16+'Gårdens info'!$D$17+'Gårdens info'!$D$18+'Gårdens info'!$D$22+'Gårdens info'!$D$23+'Gårdens info'!$D$24+'Gårdens info'!$D$25+'Gårdens info'!$D$26+'Gårdens info'!$D$27+'Gårdens info'!$D$28)</f>
        <v>0.20833333333333334</v>
      </c>
      <c r="V14" s="738">
        <f>'Gårdens info'!$D$23/('Gårdens info'!$D$10+'Gårdens info'!$D$11+'Gårdens info'!$D$12+'Gårdens info'!$D$13+'Gårdens info'!$D$14+'Gårdens info'!$D$15+'Gårdens info'!$D$16+'Gårdens info'!$D$17+'Gårdens info'!$D$18+'Gårdens info'!$D$22+'Gårdens info'!$D$23+'Gårdens info'!$D$24+'Gårdens info'!$D$25+'Gårdens info'!$D$26+'Gårdens info'!$D$27+'Gårdens info'!$D$28)</f>
        <v>4.1666666666666664E-2</v>
      </c>
      <c r="W14" s="738">
        <f>'Gårdens info'!$D$24/('Gårdens info'!$D$10+'Gårdens info'!$D$11+'Gårdens info'!$D$12+'Gårdens info'!$D$13+'Gårdens info'!$D$14+'Gårdens info'!$D$15+'Gårdens info'!$D$16+'Gårdens info'!$D$17+'Gårdens info'!$D$18+'Gårdens info'!$D$22+'Gårdens info'!$D$23+'Gårdens info'!$D$24+'Gårdens info'!$D$25+'Gårdens info'!$D$26+'Gårdens info'!$D$27+'Gårdens info'!$D$28)</f>
        <v>0.16666666666666666</v>
      </c>
      <c r="X14" s="738">
        <f>'Gårdens info'!$D$25/('Gårdens info'!$D$10+'Gårdens info'!$D$11+'Gårdens info'!$D$12+'Gårdens info'!$D$13+'Gårdens info'!$D$14+'Gårdens info'!$D$15+'Gårdens info'!$D$16+'Gårdens info'!$D$17+'Gårdens info'!$D$18+'Gårdens info'!$D$22+'Gårdens info'!$D$23+'Gårdens info'!$D$24+'Gårdens info'!$D$25+'Gårdens info'!$D$26+'Gårdens info'!$D$27+'Gårdens info'!$D$28)</f>
        <v>4.1666666666666664E-2</v>
      </c>
      <c r="Y14" s="738">
        <f>'Gårdens info'!$D$26/('Gårdens info'!$D$10+'Gårdens info'!$D$11+'Gårdens info'!$D$12+'Gårdens info'!$D$13+'Gårdens info'!$D$14+'Gårdens info'!$D$15+'Gårdens info'!$D$16+'Gårdens info'!$D$17+'Gårdens info'!$D$18+'Gårdens info'!$D$22+'Gårdens info'!$D$23+'Gårdens info'!$D$24+'Gårdens info'!$D$25+'Gårdens info'!$D$26+'Gårdens info'!$D$27+'Gårdens info'!$D$28)</f>
        <v>0.20833333333333334</v>
      </c>
      <c r="Z14" s="738">
        <f>'Gårdens info'!$D$27/('Gårdens info'!$D$10+'Gårdens info'!$D$11+'Gårdens info'!$D$12+'Gårdens info'!$D$13+'Gårdens info'!$D$14+'Gårdens info'!$D$15+'Gårdens info'!$D$16+'Gårdens info'!$D$17+'Gårdens info'!$D$18+'Gårdens info'!$D$22+'Gårdens info'!$D$23+'Gårdens info'!$D$24+'Gårdens info'!$D$25+'Gårdens info'!$D$26+'Gårdens info'!$D$27+'Gårdens info'!$D$28)</f>
        <v>4.1666666666666664E-2</v>
      </c>
      <c r="AA14" s="738">
        <f>'Gårdens info'!$D$28/('Gårdens info'!$D$10+'Gårdens info'!$D$11+'Gårdens info'!$D$12+'Gårdens info'!$D$13+'Gårdens info'!$D$14+'Gårdens info'!$D$15+'Gårdens info'!$D$16+'Gårdens info'!$D$17+'Gårdens info'!$D$18+'Gårdens info'!$D$22+'Gårdens info'!$D$23+'Gårdens info'!$D$24+'Gårdens info'!$D$25+'Gårdens info'!$D$26+'Gårdens info'!$D$27+'Gårdens info'!$D$28)</f>
        <v>0.125</v>
      </c>
      <c r="AB14" s="738">
        <v>0</v>
      </c>
      <c r="AC14" s="738">
        <v>0</v>
      </c>
      <c r="AD14" s="738">
        <v>0</v>
      </c>
      <c r="AE14" s="738">
        <v>0</v>
      </c>
      <c r="AF14" s="738">
        <v>0</v>
      </c>
      <c r="AG14" s="738">
        <v>0</v>
      </c>
      <c r="AH14" s="743">
        <f>+SUM(L14:AG14)</f>
        <v>1</v>
      </c>
      <c r="AI14" s="741">
        <f>IF((($C$7-$E14)&lt;=$H14),(($I14-$J14)/$H14*L14),0)</f>
        <v>185</v>
      </c>
      <c r="AJ14" s="740">
        <f>IF((($C$7-$E14)&lt;=$H14),(($I14-$J14)/$H14*M14),0)</f>
        <v>185</v>
      </c>
      <c r="AK14" s="740">
        <f>IF((($C$7-$E14)&lt;=$H14),(($I14-$J14)/$H14*N14),0)</f>
        <v>185</v>
      </c>
      <c r="AL14" s="740">
        <f>IF((($C$7-$E14)&lt;=$H14),(($I14-$J14)/$H14*O14),0)</f>
        <v>185</v>
      </c>
      <c r="AM14" s="740">
        <f t="shared" ref="AM14:AQ20" si="0">IF((($C$7-$E14)&lt;=$H14),(($I14-$J14)/$H14*P14),0)</f>
        <v>0</v>
      </c>
      <c r="AN14" s="740">
        <f t="shared" si="0"/>
        <v>0</v>
      </c>
      <c r="AO14" s="740">
        <f t="shared" si="0"/>
        <v>0</v>
      </c>
      <c r="AP14" s="740">
        <f t="shared" si="0"/>
        <v>0</v>
      </c>
      <c r="AQ14" s="740">
        <f t="shared" si="0"/>
        <v>0</v>
      </c>
      <c r="AR14" s="740">
        <f t="shared" ref="AR14:BD14" si="1">IF((($C$7-$E14)&lt;=$H14),(($I14-$J14)/$H14*U14),0)</f>
        <v>925</v>
      </c>
      <c r="AS14" s="740">
        <f t="shared" si="1"/>
        <v>185</v>
      </c>
      <c r="AT14" s="740">
        <f t="shared" si="1"/>
        <v>740</v>
      </c>
      <c r="AU14" s="740">
        <f t="shared" si="1"/>
        <v>185</v>
      </c>
      <c r="AV14" s="740">
        <f t="shared" si="1"/>
        <v>925</v>
      </c>
      <c r="AW14" s="740">
        <f t="shared" si="1"/>
        <v>185</v>
      </c>
      <c r="AX14" s="740">
        <f t="shared" si="1"/>
        <v>555</v>
      </c>
      <c r="AY14" s="740">
        <f t="shared" si="1"/>
        <v>0</v>
      </c>
      <c r="AZ14" s="740">
        <f t="shared" si="1"/>
        <v>0</v>
      </c>
      <c r="BA14" s="740">
        <f t="shared" si="1"/>
        <v>0</v>
      </c>
      <c r="BB14" s="740">
        <f t="shared" si="1"/>
        <v>0</v>
      </c>
      <c r="BC14" s="740">
        <f t="shared" si="1"/>
        <v>0</v>
      </c>
      <c r="BD14" s="740">
        <f t="shared" si="1"/>
        <v>0</v>
      </c>
      <c r="BE14" s="741">
        <f>IF(($C$7-$E14&lt;=$H14),(($I14+$J14)/2*$C$8*L14),0)</f>
        <v>115.625</v>
      </c>
      <c r="BF14" s="740">
        <f>IF(($C$7-$E14&lt;=$H14),(($I14+$J14)/2*$C$8*M14),0)</f>
        <v>115.625</v>
      </c>
      <c r="BG14" s="740">
        <f>IF(($C$7-$E14&lt;=$H14),(($I14+$J14)/2*$C$8*N14),0)</f>
        <v>115.625</v>
      </c>
      <c r="BH14" s="740">
        <f>IF(($C$7-$E14&lt;=$H14),(($I14+$J14)/2*$C$8*O14),0)</f>
        <v>115.625</v>
      </c>
      <c r="BI14" s="740">
        <f t="shared" ref="BI14:BM21" si="2">IF(($C$7-$E14&lt;=$H14),(($I14+$J14)/2*$C$8*P14),0)</f>
        <v>0</v>
      </c>
      <c r="BJ14" s="740">
        <f t="shared" si="2"/>
        <v>0</v>
      </c>
      <c r="BK14" s="740">
        <f t="shared" si="2"/>
        <v>0</v>
      </c>
      <c r="BL14" s="740">
        <f t="shared" si="2"/>
        <v>0</v>
      </c>
      <c r="BM14" s="740">
        <f t="shared" si="2"/>
        <v>0</v>
      </c>
      <c r="BN14" s="740">
        <f t="shared" ref="BN14:BZ14" si="3">IF(($C$7-$E14&lt;=$H14),(($I14+$J14)/2*$C$8*U14),0)</f>
        <v>578.125</v>
      </c>
      <c r="BO14" s="740">
        <f t="shared" si="3"/>
        <v>115.625</v>
      </c>
      <c r="BP14" s="740">
        <f t="shared" si="3"/>
        <v>462.5</v>
      </c>
      <c r="BQ14" s="740">
        <f t="shared" si="3"/>
        <v>115.625</v>
      </c>
      <c r="BR14" s="740">
        <f t="shared" si="3"/>
        <v>578.125</v>
      </c>
      <c r="BS14" s="740">
        <f t="shared" si="3"/>
        <v>115.625</v>
      </c>
      <c r="BT14" s="740">
        <f t="shared" si="3"/>
        <v>346.875</v>
      </c>
      <c r="BU14" s="740">
        <f t="shared" si="3"/>
        <v>0</v>
      </c>
      <c r="BV14" s="740">
        <f t="shared" si="3"/>
        <v>0</v>
      </c>
      <c r="BW14" s="740">
        <f t="shared" si="3"/>
        <v>0</v>
      </c>
      <c r="BX14" s="740">
        <f t="shared" si="3"/>
        <v>0</v>
      </c>
      <c r="BY14" s="740">
        <f t="shared" si="3"/>
        <v>0</v>
      </c>
      <c r="BZ14" s="740">
        <f t="shared" si="3"/>
        <v>0</v>
      </c>
      <c r="CA14" s="741">
        <f>$I14*$K14*L14</f>
        <v>46.25</v>
      </c>
      <c r="CB14" s="740">
        <f>$I14*$K14*M14</f>
        <v>46.25</v>
      </c>
      <c r="CC14" s="740">
        <f>$I14*$K14*N14</f>
        <v>46.25</v>
      </c>
      <c r="CD14" s="740">
        <f>$I14*$K14*O14</f>
        <v>46.25</v>
      </c>
      <c r="CE14" s="740">
        <f t="shared" ref="CE14:CI21" si="4">$I14*$K14*P14</f>
        <v>0</v>
      </c>
      <c r="CF14" s="740">
        <f t="shared" si="4"/>
        <v>0</v>
      </c>
      <c r="CG14" s="740">
        <f t="shared" si="4"/>
        <v>0</v>
      </c>
      <c r="CH14" s="740">
        <f t="shared" si="4"/>
        <v>0</v>
      </c>
      <c r="CI14" s="740">
        <f t="shared" si="4"/>
        <v>0</v>
      </c>
      <c r="CJ14" s="740">
        <f t="shared" ref="CJ14:CV14" si="5">$I14*$K14*U14</f>
        <v>231.25</v>
      </c>
      <c r="CK14" s="740">
        <f t="shared" si="5"/>
        <v>46.25</v>
      </c>
      <c r="CL14" s="740">
        <f t="shared" si="5"/>
        <v>185</v>
      </c>
      <c r="CM14" s="740">
        <f t="shared" si="5"/>
        <v>46.25</v>
      </c>
      <c r="CN14" s="740">
        <f t="shared" si="5"/>
        <v>231.25</v>
      </c>
      <c r="CO14" s="740">
        <f t="shared" si="5"/>
        <v>46.25</v>
      </c>
      <c r="CP14" s="740">
        <f t="shared" si="5"/>
        <v>138.75</v>
      </c>
      <c r="CQ14" s="740">
        <f t="shared" si="5"/>
        <v>0</v>
      </c>
      <c r="CR14" s="740">
        <f t="shared" si="5"/>
        <v>0</v>
      </c>
      <c r="CS14" s="740">
        <f t="shared" si="5"/>
        <v>0</v>
      </c>
      <c r="CT14" s="740">
        <f t="shared" si="5"/>
        <v>0</v>
      </c>
      <c r="CU14" s="740">
        <f t="shared" si="5"/>
        <v>0</v>
      </c>
      <c r="CV14" s="740">
        <f t="shared" si="5"/>
        <v>0</v>
      </c>
      <c r="CW14" s="741">
        <f>$I14*$C$9*L14</f>
        <v>9.25</v>
      </c>
      <c r="CX14" s="740">
        <f>$I14*$C$9*M14</f>
        <v>9.25</v>
      </c>
      <c r="CY14" s="740">
        <f>$I14*$C$9*N14</f>
        <v>9.25</v>
      </c>
      <c r="CZ14" s="740">
        <f>$I14*$C$9*O14</f>
        <v>9.25</v>
      </c>
      <c r="DA14" s="740">
        <f t="shared" ref="DA14:DE21" si="6">$I14*$C$9*P14</f>
        <v>0</v>
      </c>
      <c r="DB14" s="740">
        <f t="shared" si="6"/>
        <v>0</v>
      </c>
      <c r="DC14" s="740">
        <f t="shared" si="6"/>
        <v>0</v>
      </c>
      <c r="DD14" s="740">
        <f t="shared" si="6"/>
        <v>0</v>
      </c>
      <c r="DE14" s="740">
        <f t="shared" si="6"/>
        <v>0</v>
      </c>
      <c r="DF14" s="740">
        <f t="shared" ref="DF14:DR14" si="7">$I14*$C$9*U14</f>
        <v>46.25</v>
      </c>
      <c r="DG14" s="740">
        <f t="shared" si="7"/>
        <v>9.25</v>
      </c>
      <c r="DH14" s="740">
        <f t="shared" si="7"/>
        <v>37</v>
      </c>
      <c r="DI14" s="740">
        <f t="shared" si="7"/>
        <v>9.25</v>
      </c>
      <c r="DJ14" s="740">
        <f t="shared" si="7"/>
        <v>46.25</v>
      </c>
      <c r="DK14" s="740">
        <f t="shared" si="7"/>
        <v>9.25</v>
      </c>
      <c r="DL14" s="740">
        <f t="shared" si="7"/>
        <v>27.75</v>
      </c>
      <c r="DM14" s="740">
        <f t="shared" si="7"/>
        <v>0</v>
      </c>
      <c r="DN14" s="740">
        <f t="shared" si="7"/>
        <v>0</v>
      </c>
      <c r="DO14" s="740">
        <f t="shared" si="7"/>
        <v>0</v>
      </c>
      <c r="DP14" s="740">
        <f t="shared" si="7"/>
        <v>0</v>
      </c>
      <c r="DQ14" s="740">
        <f t="shared" si="7"/>
        <v>0</v>
      </c>
      <c r="DR14" s="744">
        <f t="shared" si="7"/>
        <v>0</v>
      </c>
    </row>
    <row r="15" spans="1:122" s="732" customFormat="1" ht="13.8" thickBot="1" x14ac:dyDescent="0.3">
      <c r="B15" s="730" t="str">
        <f>'Gårdens info'!C65</f>
        <v>Packeri/lådlager, 100 m2</v>
      </c>
      <c r="D15" s="730"/>
      <c r="E15" s="733">
        <f>'Gårdens info'!J65</f>
        <v>2008</v>
      </c>
      <c r="F15" s="730"/>
      <c r="G15" s="730"/>
      <c r="H15" s="735">
        <v>25</v>
      </c>
      <c r="I15" s="733">
        <f>'Gårdens info'!D65</f>
        <v>44000</v>
      </c>
      <c r="J15" s="735">
        <v>0</v>
      </c>
      <c r="K15" s="736">
        <v>0.01</v>
      </c>
      <c r="L15" s="738">
        <f>'Gårdens info'!$D$10/('Gårdens info'!$D$10+'Gårdens info'!$D$11+'Gårdens info'!$D$12+'Gårdens info'!$D$13+'Gårdens info'!$D$14+'Gårdens info'!$D$15+'Gårdens info'!$D$16+'Gårdens info'!$D$17+'Gårdens info'!$D$18+'Gårdens info'!$D$22+'Gårdens info'!$D$23+'Gårdens info'!$D$24+'Gårdens info'!$D$25+'Gårdens info'!$D$26+'Gårdens info'!$D$27+'Gårdens info'!$D$28)</f>
        <v>4.1666666666666664E-2</v>
      </c>
      <c r="M15" s="738">
        <f>'Gårdens info'!$D$11/('Gårdens info'!$D$10+'Gårdens info'!$D$11+'Gårdens info'!$D$12+'Gårdens info'!$D$13+'Gårdens info'!$D$14+'Gårdens info'!$D$15+'Gårdens info'!$D$16+'Gårdens info'!$D$17+'Gårdens info'!$D$18+'Gårdens info'!$D$22+'Gårdens info'!$D$23+'Gårdens info'!$D$24+'Gårdens info'!$D$25+'Gårdens info'!$D$26+'Gårdens info'!$D$27+'Gårdens info'!$D$28)</f>
        <v>4.1666666666666664E-2</v>
      </c>
      <c r="N15" s="738">
        <f>'Gårdens info'!$D$12/('Gårdens info'!$D$10+'Gårdens info'!$D$11+'Gårdens info'!$D$12+'Gårdens info'!$D$13+'Gårdens info'!$D$14+'Gårdens info'!$D$15+'Gårdens info'!$D$16+'Gårdens info'!$D$17+'Gårdens info'!$D$18+'Gårdens info'!$D$22+'Gårdens info'!$D$23+'Gårdens info'!$D$24+'Gårdens info'!$D$25+'Gårdens info'!$D$26+'Gårdens info'!$D$27+'Gårdens info'!$D$28)</f>
        <v>4.1666666666666664E-2</v>
      </c>
      <c r="O15" s="738">
        <f>'Gårdens info'!$D$13/('Gårdens info'!$D$10+'Gårdens info'!$D$11+'Gårdens info'!$D$12+'Gårdens info'!$D$13+'Gårdens info'!$D$14+'Gårdens info'!$D$15+'Gårdens info'!$D$16+'Gårdens info'!$D$17+'Gårdens info'!$D$18+'Gårdens info'!$D$22+'Gårdens info'!$D$23+'Gårdens info'!$D$24+'Gårdens info'!$D$25+'Gårdens info'!$D$26+'Gårdens info'!$D$27+'Gårdens info'!$D$28)</f>
        <v>4.1666666666666664E-2</v>
      </c>
      <c r="P15" s="738">
        <f>'Gårdens info'!$D$14/('Gårdens info'!$D$10+'Gårdens info'!$D$11+'Gårdens info'!$D$12+'Gårdens info'!$D$13+'Gårdens info'!$D$14+'Gårdens info'!$D$15+'Gårdens info'!$D$16+'Gårdens info'!$D$17+'Gårdens info'!$D$18+'Gårdens info'!$D$22+'Gårdens info'!$D$23+'Gårdens info'!$D$24+'Gårdens info'!$D$25+'Gårdens info'!$D$26+'Gårdens info'!$D$27+'Gårdens info'!$D$28)</f>
        <v>0</v>
      </c>
      <c r="Q15" s="738">
        <f>'Gårdens info'!$D$15/('Gårdens info'!$D$10+'Gårdens info'!$D$11+'Gårdens info'!$D$12+'Gårdens info'!$D$13+'Gårdens info'!$D$14+'Gårdens info'!$D$15+'Gårdens info'!$D$16+'Gårdens info'!$D$17+'Gårdens info'!$D$18+'Gårdens info'!$D$22+'Gårdens info'!$D$23+'Gårdens info'!$D$24+'Gårdens info'!$D$25+'Gårdens info'!$D$26+'Gårdens info'!$D$27+'Gårdens info'!$D$28)</f>
        <v>0</v>
      </c>
      <c r="R15" s="738">
        <f>'Gårdens info'!$D$16/('Gårdens info'!$D$10+'Gårdens info'!$D$11+'Gårdens info'!$D$12+'Gårdens info'!$D$13+'Gårdens info'!$D$14+'Gårdens info'!$D$15+'Gårdens info'!$D$16+'Gårdens info'!$D$17+'Gårdens info'!$D$18+'Gårdens info'!$D$22+'Gårdens info'!$D$23+'Gårdens info'!$D$24+'Gårdens info'!$D$25+'Gårdens info'!$D$26+'Gårdens info'!$D$27+'Gårdens info'!$D$28)</f>
        <v>0</v>
      </c>
      <c r="S15" s="738">
        <f>'Gårdens info'!$D$17/('Gårdens info'!$D$10+'Gårdens info'!$D$11+'Gårdens info'!$D$12+'Gårdens info'!$D$13+'Gårdens info'!$D$14+'Gårdens info'!$D$15+'Gårdens info'!$D$16+'Gårdens info'!$D$17+'Gårdens info'!$D$18+'Gårdens info'!$D$22+'Gårdens info'!$D$23+'Gårdens info'!$D$24+'Gårdens info'!$D$25+'Gårdens info'!$D$26+'Gårdens info'!$D$27+'Gårdens info'!$D$28)</f>
        <v>0</v>
      </c>
      <c r="T15" s="738">
        <f>'Gårdens info'!$D$18/('Gårdens info'!$D$10+'Gårdens info'!$D$11+'Gårdens info'!$D$12+'Gårdens info'!$D$13+'Gårdens info'!$D$14+'Gårdens info'!$D$15+'Gårdens info'!$D$16+'Gårdens info'!$D$17+'Gårdens info'!$D$18+'Gårdens info'!$D$22+'Gårdens info'!$D$23+'Gårdens info'!$D$24+'Gårdens info'!$D$25+'Gårdens info'!$D$26+'Gårdens info'!$D$27+'Gårdens info'!$D$28)</f>
        <v>0</v>
      </c>
      <c r="U15" s="738">
        <f>'Gårdens info'!$D$22/('Gårdens info'!$D$10+'Gårdens info'!$D$11+'Gårdens info'!$D$12+'Gårdens info'!$D$13+'Gårdens info'!$D$14+'Gårdens info'!$D$15+'Gårdens info'!$D$16+'Gårdens info'!$D$17+'Gårdens info'!$D$18+'Gårdens info'!$D$22+'Gårdens info'!$D$23+'Gårdens info'!$D$24+'Gårdens info'!$D$25+'Gårdens info'!$D$26+'Gårdens info'!$D$27+'Gårdens info'!$D$28)</f>
        <v>0.20833333333333334</v>
      </c>
      <c r="V15" s="738">
        <f>'Gårdens info'!$D$23/('Gårdens info'!$D$10+'Gårdens info'!$D$11+'Gårdens info'!$D$12+'Gårdens info'!$D$13+'Gårdens info'!$D$14+'Gårdens info'!$D$15+'Gårdens info'!$D$16+'Gårdens info'!$D$17+'Gårdens info'!$D$18+'Gårdens info'!$D$22+'Gårdens info'!$D$23+'Gårdens info'!$D$24+'Gårdens info'!$D$25+'Gårdens info'!$D$26+'Gårdens info'!$D$27+'Gårdens info'!$D$28)</f>
        <v>4.1666666666666664E-2</v>
      </c>
      <c r="W15" s="738">
        <f>'Gårdens info'!$D$24/('Gårdens info'!$D$10+'Gårdens info'!$D$11+'Gårdens info'!$D$12+'Gårdens info'!$D$13+'Gårdens info'!$D$14+'Gårdens info'!$D$15+'Gårdens info'!$D$16+'Gårdens info'!$D$17+'Gårdens info'!$D$18+'Gårdens info'!$D$22+'Gårdens info'!$D$23+'Gårdens info'!$D$24+'Gårdens info'!$D$25+'Gårdens info'!$D$26+'Gårdens info'!$D$27+'Gårdens info'!$D$28)</f>
        <v>0.16666666666666666</v>
      </c>
      <c r="X15" s="738">
        <f>'Gårdens info'!$D$25/('Gårdens info'!$D$10+'Gårdens info'!$D$11+'Gårdens info'!$D$12+'Gårdens info'!$D$13+'Gårdens info'!$D$14+'Gårdens info'!$D$15+'Gårdens info'!$D$16+'Gårdens info'!$D$17+'Gårdens info'!$D$18+'Gårdens info'!$D$22+'Gårdens info'!$D$23+'Gårdens info'!$D$24+'Gårdens info'!$D$25+'Gårdens info'!$D$26+'Gårdens info'!$D$27+'Gårdens info'!$D$28)</f>
        <v>4.1666666666666664E-2</v>
      </c>
      <c r="Y15" s="738">
        <f>'Gårdens info'!$D$26/('Gårdens info'!$D$10+'Gårdens info'!$D$11+'Gårdens info'!$D$12+'Gårdens info'!$D$13+'Gårdens info'!$D$14+'Gårdens info'!$D$15+'Gårdens info'!$D$16+'Gårdens info'!$D$17+'Gårdens info'!$D$18+'Gårdens info'!$D$22+'Gårdens info'!$D$23+'Gårdens info'!$D$24+'Gårdens info'!$D$25+'Gårdens info'!$D$26+'Gårdens info'!$D$27+'Gårdens info'!$D$28)</f>
        <v>0.20833333333333334</v>
      </c>
      <c r="Z15" s="738">
        <f>'Gårdens info'!$D$27/('Gårdens info'!$D$10+'Gårdens info'!$D$11+'Gårdens info'!$D$12+'Gårdens info'!$D$13+'Gårdens info'!$D$14+'Gårdens info'!$D$15+'Gårdens info'!$D$16+'Gårdens info'!$D$17+'Gårdens info'!$D$18+'Gårdens info'!$D$22+'Gårdens info'!$D$23+'Gårdens info'!$D$24+'Gårdens info'!$D$25+'Gårdens info'!$D$26+'Gårdens info'!$D$27+'Gårdens info'!$D$28)</f>
        <v>4.1666666666666664E-2</v>
      </c>
      <c r="AA15" s="738">
        <f>'Gårdens info'!$D$28/('Gårdens info'!$D$10+'Gårdens info'!$D$11+'Gårdens info'!$D$12+'Gårdens info'!$D$13+'Gårdens info'!$D$14+'Gårdens info'!$D$15+'Gårdens info'!$D$16+'Gårdens info'!$D$17+'Gårdens info'!$D$18+'Gårdens info'!$D$22+'Gårdens info'!$D$23+'Gårdens info'!$D$24+'Gårdens info'!$D$25+'Gårdens info'!$D$26+'Gårdens info'!$D$27+'Gårdens info'!$D$28)</f>
        <v>0.125</v>
      </c>
      <c r="AB15" s="738">
        <v>0</v>
      </c>
      <c r="AC15" s="738">
        <v>0</v>
      </c>
      <c r="AD15" s="738">
        <v>0</v>
      </c>
      <c r="AE15" s="738">
        <v>0</v>
      </c>
      <c r="AF15" s="738">
        <v>0</v>
      </c>
      <c r="AG15" s="738">
        <v>0</v>
      </c>
      <c r="AH15" s="743">
        <f t="shared" ref="AH15:AH21" si="8">+SUM(L15:AG15)</f>
        <v>1</v>
      </c>
      <c r="AI15" s="741">
        <f t="shared" ref="AI15:AI21" si="9">IF((($C$7-$E15)&lt;=$H15),(($I15-$J15)/$H15*L15),0)</f>
        <v>73.333333333333329</v>
      </c>
      <c r="AJ15" s="740">
        <f t="shared" ref="AJ15:AJ21" si="10">IF((($C$7-$E15)&lt;=$H15),(($I15-$J15)/$H15*M15),0)</f>
        <v>73.333333333333329</v>
      </c>
      <c r="AK15" s="740">
        <f t="shared" ref="AK15:AL19" si="11">IF((($C$7-$E15)&lt;=$H15),(($I15-$J15)/$H15*N15),0)</f>
        <v>73.333333333333329</v>
      </c>
      <c r="AL15" s="740">
        <f t="shared" si="11"/>
        <v>73.333333333333329</v>
      </c>
      <c r="AM15" s="740">
        <f t="shared" si="0"/>
        <v>0</v>
      </c>
      <c r="AN15" s="740">
        <f t="shared" si="0"/>
        <v>0</v>
      </c>
      <c r="AO15" s="740">
        <f t="shared" si="0"/>
        <v>0</v>
      </c>
      <c r="AP15" s="740">
        <f t="shared" si="0"/>
        <v>0</v>
      </c>
      <c r="AQ15" s="740">
        <f t="shared" si="0"/>
        <v>0</v>
      </c>
      <c r="AR15" s="740">
        <f t="shared" ref="AR15:AR21" si="12">IF((($C$7-$E15)&lt;=$H15),(($I15-$J15)/$H15*U15),0)</f>
        <v>366.66666666666669</v>
      </c>
      <c r="AS15" s="740">
        <f t="shared" ref="AS15:AS21" si="13">IF((($C$7-$E15)&lt;=$H15),(($I15-$J15)/$H15*V15),0)</f>
        <v>73.333333333333329</v>
      </c>
      <c r="AT15" s="740">
        <f t="shared" ref="AT15:AT21" si="14">IF((($C$7-$E15)&lt;=$H15),(($I15-$J15)/$H15*W15),0)</f>
        <v>293.33333333333331</v>
      </c>
      <c r="AU15" s="740">
        <f t="shared" ref="AU15:AU21" si="15">IF((($C$7-$E15)&lt;=$H15),(($I15-$J15)/$H15*X15),0)</f>
        <v>73.333333333333329</v>
      </c>
      <c r="AV15" s="740">
        <f t="shared" ref="AV15:AV21" si="16">IF((($C$7-$E15)&lt;=$H15),(($I15-$J15)/$H15*Y15),0)</f>
        <v>366.66666666666669</v>
      </c>
      <c r="AW15" s="740">
        <f t="shared" ref="AW15:AW21" si="17">IF((($C$7-$E15)&lt;=$H15),(($I15-$J15)/$H15*Z15),0)</f>
        <v>73.333333333333329</v>
      </c>
      <c r="AX15" s="740">
        <f t="shared" ref="AX15:AX20" si="18">IF((($C$7-$E15)&lt;=$H15),(($I15-$J15)/$H15*AA15),0)</f>
        <v>220</v>
      </c>
      <c r="AY15" s="740">
        <f t="shared" ref="AY15:AY21" si="19">IF((($C$7-$E15)&lt;=$H15),(($I15-$J15)/$H15*AB15),0)</f>
        <v>0</v>
      </c>
      <c r="AZ15" s="740">
        <f t="shared" ref="AZ15:AZ21" si="20">IF((($C$7-$E15)&lt;=$H15),(($I15-$J15)/$H15*AC15),0)</f>
        <v>0</v>
      </c>
      <c r="BA15" s="740">
        <f t="shared" ref="BA15:BB19" si="21">IF((($C$7-$E15)&lt;=$H15),(($I15-$J15)/$H15*AD15),0)</f>
        <v>0</v>
      </c>
      <c r="BB15" s="740">
        <f t="shared" si="21"/>
        <v>0</v>
      </c>
      <c r="BC15" s="740">
        <f t="shared" ref="BC15:BC21" si="22">IF((($C$7-$E15)&lt;=$H15),(($I15-$J15)/$H15*AF15),0)</f>
        <v>0</v>
      </c>
      <c r="BD15" s="740">
        <f t="shared" ref="BD15:BD21" si="23">IF((($C$7-$E15)&lt;=$H15),(($I15-$J15)/$H15*AG15),0)</f>
        <v>0</v>
      </c>
      <c r="BE15" s="741">
        <f t="shared" ref="BE15:BE21" si="24">IF(($C$7-$E15&lt;=$H15),(($I15+$J15)/2*$C$8*L15),0)</f>
        <v>45.833333333333329</v>
      </c>
      <c r="BF15" s="740">
        <f t="shared" ref="BF15:BF21" si="25">IF(($C$7-$E15&lt;=$H15),(($I15+$J15)/2*$C$8*M15),0)</f>
        <v>45.833333333333329</v>
      </c>
      <c r="BG15" s="740">
        <f t="shared" ref="BG15:BH18" si="26">IF(($C$7-$E15&lt;=$H15),(($I15+$J15)/2*$C$8*N15),0)</f>
        <v>45.833333333333329</v>
      </c>
      <c r="BH15" s="740">
        <f t="shared" si="26"/>
        <v>45.833333333333329</v>
      </c>
      <c r="BI15" s="740">
        <f t="shared" si="2"/>
        <v>0</v>
      </c>
      <c r="BJ15" s="740">
        <f t="shared" si="2"/>
        <v>0</v>
      </c>
      <c r="BK15" s="740">
        <f t="shared" si="2"/>
        <v>0</v>
      </c>
      <c r="BL15" s="740">
        <f t="shared" si="2"/>
        <v>0</v>
      </c>
      <c r="BM15" s="740">
        <f t="shared" si="2"/>
        <v>0</v>
      </c>
      <c r="BN15" s="740">
        <f t="shared" ref="BN15:BN21" si="27">IF(($C$7-$E15&lt;=$H15),(($I15+$J15)/2*$C$8*U15),0)</f>
        <v>229.16666666666669</v>
      </c>
      <c r="BO15" s="740">
        <f t="shared" ref="BO15:BO21" si="28">IF(($C$7-$E15&lt;=$H15),(($I15+$J15)/2*$C$8*V15),0)</f>
        <v>45.833333333333329</v>
      </c>
      <c r="BP15" s="740">
        <f t="shared" ref="BP15:BP21" si="29">IF(($C$7-$E15&lt;=$H15),(($I15+$J15)/2*$C$8*W15),0)</f>
        <v>183.33333333333331</v>
      </c>
      <c r="BQ15" s="740">
        <f t="shared" ref="BQ15:BQ21" si="30">IF(($C$7-$E15&lt;=$H15),(($I15+$J15)/2*$C$8*X15),0)</f>
        <v>45.833333333333329</v>
      </c>
      <c r="BR15" s="740">
        <f t="shared" ref="BR15:BR21" si="31">IF(($C$7-$E15&lt;=$H15),(($I15+$J15)/2*$C$8*Y15),0)</f>
        <v>229.16666666666669</v>
      </c>
      <c r="BS15" s="740">
        <f t="shared" ref="BS15:BS21" si="32">IF(($C$7-$E15&lt;=$H15),(($I15+$J15)/2*$C$8*Z15),0)</f>
        <v>45.833333333333329</v>
      </c>
      <c r="BT15" s="740">
        <f t="shared" ref="BT15:BT21" si="33">IF(($C$7-$E15&lt;=$H15),(($I15+$J15)/2*$C$8*AA15),0)</f>
        <v>137.5</v>
      </c>
      <c r="BU15" s="740">
        <f t="shared" ref="BU15:BU21" si="34">IF(($C$7-$E15&lt;=$H15),(($I15+$J15)/2*$C$8*AB15),0)</f>
        <v>0</v>
      </c>
      <c r="BV15" s="740">
        <f t="shared" ref="BV15:BV21" si="35">IF(($C$7-$E15&lt;=$H15),(($I15+$J15)/2*$C$8*AC15),0)</f>
        <v>0</v>
      </c>
      <c r="BW15" s="740">
        <f t="shared" ref="BW15:BX18" si="36">IF(($C$7-$E15&lt;=$H15),(($I15+$J15)/2*$C$8*AD15),0)</f>
        <v>0</v>
      </c>
      <c r="BX15" s="740">
        <f t="shared" si="36"/>
        <v>0</v>
      </c>
      <c r="BY15" s="740">
        <f t="shared" ref="BY15:BY21" si="37">IF(($C$7-$E15&lt;=$H15),(($I15+$J15)/2*$C$8*AF15),0)</f>
        <v>0</v>
      </c>
      <c r="BZ15" s="740">
        <f t="shared" ref="BZ15:BZ21" si="38">IF(($C$7-$E15&lt;=$H15),(($I15+$J15)/2*$C$8*AG15),0)</f>
        <v>0</v>
      </c>
      <c r="CA15" s="741">
        <f t="shared" ref="CA15:CA21" si="39">$I15*$K15*L15</f>
        <v>18.333333333333332</v>
      </c>
      <c r="CB15" s="740">
        <f t="shared" ref="CB15:CB21" si="40">$I15*$K15*M15</f>
        <v>18.333333333333332</v>
      </c>
      <c r="CC15" s="740">
        <f t="shared" ref="CC15:CD18" si="41">$I15*$K15*N15</f>
        <v>18.333333333333332</v>
      </c>
      <c r="CD15" s="740">
        <f t="shared" si="41"/>
        <v>18.333333333333332</v>
      </c>
      <c r="CE15" s="740">
        <f t="shared" si="4"/>
        <v>0</v>
      </c>
      <c r="CF15" s="740">
        <f t="shared" si="4"/>
        <v>0</v>
      </c>
      <c r="CG15" s="740">
        <f t="shared" si="4"/>
        <v>0</v>
      </c>
      <c r="CH15" s="740">
        <f t="shared" si="4"/>
        <v>0</v>
      </c>
      <c r="CI15" s="740">
        <f t="shared" si="4"/>
        <v>0</v>
      </c>
      <c r="CJ15" s="740">
        <f t="shared" ref="CJ15:CJ21" si="42">$I15*$K15*U15</f>
        <v>91.666666666666671</v>
      </c>
      <c r="CK15" s="740">
        <f t="shared" ref="CK15:CK21" si="43">$I15*$K15*V15</f>
        <v>18.333333333333332</v>
      </c>
      <c r="CL15" s="740">
        <f t="shared" ref="CL15:CL21" si="44">$I15*$K15*W15</f>
        <v>73.333333333333329</v>
      </c>
      <c r="CM15" s="740">
        <f t="shared" ref="CM15:CM21" si="45">$I15*$K15*X15</f>
        <v>18.333333333333332</v>
      </c>
      <c r="CN15" s="740">
        <f t="shared" ref="CN15:CN20" si="46">$I15*$K15*Y15</f>
        <v>91.666666666666671</v>
      </c>
      <c r="CO15" s="740">
        <f t="shared" ref="CO15:CO21" si="47">$I15*$K15*Z15</f>
        <v>18.333333333333332</v>
      </c>
      <c r="CP15" s="740">
        <f t="shared" ref="CP15:CP21" si="48">$I15*$K15*AA15</f>
        <v>55</v>
      </c>
      <c r="CQ15" s="740">
        <f t="shared" ref="CQ15:CQ21" si="49">$I15*$K15*AB15</f>
        <v>0</v>
      </c>
      <c r="CR15" s="740">
        <f t="shared" ref="CR15:CR21" si="50">$I15*$K15*AC15</f>
        <v>0</v>
      </c>
      <c r="CS15" s="740">
        <f t="shared" ref="CS15:CT18" si="51">$I15*$K15*AD15</f>
        <v>0</v>
      </c>
      <c r="CT15" s="740">
        <f t="shared" si="51"/>
        <v>0</v>
      </c>
      <c r="CU15" s="740">
        <f t="shared" ref="CU15:CU21" si="52">$I15*$K15*AF15</f>
        <v>0</v>
      </c>
      <c r="CV15" s="740">
        <f t="shared" ref="CV15:CV21" si="53">$I15*$K15*AG15</f>
        <v>0</v>
      </c>
      <c r="CW15" s="741">
        <f t="shared" ref="CW15:CW21" si="54">$I15*$C$9*L15</f>
        <v>3.6666666666666665</v>
      </c>
      <c r="CX15" s="740">
        <f t="shared" ref="CX15:CX21" si="55">$I15*$C$9*M15</f>
        <v>3.6666666666666665</v>
      </c>
      <c r="CY15" s="740">
        <f t="shared" ref="CY15:CZ18" si="56">$I15*$C$9*N15</f>
        <v>3.6666666666666665</v>
      </c>
      <c r="CZ15" s="740">
        <f t="shared" si="56"/>
        <v>3.6666666666666665</v>
      </c>
      <c r="DA15" s="740">
        <f t="shared" si="6"/>
        <v>0</v>
      </c>
      <c r="DB15" s="740">
        <f t="shared" si="6"/>
        <v>0</v>
      </c>
      <c r="DC15" s="740">
        <f t="shared" si="6"/>
        <v>0</v>
      </c>
      <c r="DD15" s="740">
        <f t="shared" si="6"/>
        <v>0</v>
      </c>
      <c r="DE15" s="740">
        <f t="shared" si="6"/>
        <v>0</v>
      </c>
      <c r="DF15" s="740">
        <f t="shared" ref="DF15:DF21" si="57">$I15*$C$9*U15</f>
        <v>18.333333333333336</v>
      </c>
      <c r="DG15" s="740">
        <f t="shared" ref="DG15:DG21" si="58">$I15*$C$9*V15</f>
        <v>3.6666666666666665</v>
      </c>
      <c r="DH15" s="740">
        <f t="shared" ref="DH15:DH21" si="59">$I15*$C$9*W15</f>
        <v>14.666666666666666</v>
      </c>
      <c r="DI15" s="740">
        <f t="shared" ref="DI15:DI21" si="60">$I15*$C$9*X15</f>
        <v>3.6666666666666665</v>
      </c>
      <c r="DJ15" s="740">
        <f t="shared" ref="DJ15:DJ21" si="61">$I15*$C$9*Y15</f>
        <v>18.333333333333336</v>
      </c>
      <c r="DK15" s="740">
        <f t="shared" ref="DK15:DK21" si="62">$I15*$C$9*Z15</f>
        <v>3.6666666666666665</v>
      </c>
      <c r="DL15" s="740">
        <f t="shared" ref="DL15:DL21" si="63">$I15*$C$9*AA15</f>
        <v>11</v>
      </c>
      <c r="DM15" s="740">
        <f t="shared" ref="DM15:DM21" si="64">$I15*$C$9*AB15</f>
        <v>0</v>
      </c>
      <c r="DN15" s="740">
        <f t="shared" ref="DN15:DN21" si="65">$I15*$C$9*AC15</f>
        <v>0</v>
      </c>
      <c r="DO15" s="740">
        <f t="shared" ref="DO15:DP18" si="66">$I15*$C$9*AD15</f>
        <v>0</v>
      </c>
      <c r="DP15" s="740">
        <f t="shared" si="66"/>
        <v>0</v>
      </c>
      <c r="DQ15" s="740">
        <f t="shared" ref="DQ15:DQ21" si="67">$I15*$C$9*AF15</f>
        <v>0</v>
      </c>
      <c r="DR15" s="744">
        <f t="shared" ref="DR15:DR21" si="68">$I15*$C$9*AG15</f>
        <v>0</v>
      </c>
    </row>
    <row r="16" spans="1:122" ht="13.8" thickBot="1" x14ac:dyDescent="0.3">
      <c r="B16" s="49" t="str">
        <f>'Gårdens info'!C66</f>
        <v>Maskinhall, 250 m2</v>
      </c>
      <c r="D16" s="49"/>
      <c r="E16" s="360">
        <f>'Gårdens info'!J66</f>
        <v>2008</v>
      </c>
      <c r="F16" s="5"/>
      <c r="G16" s="49"/>
      <c r="H16" s="506">
        <v>25</v>
      </c>
      <c r="I16" s="360">
        <f>'Gårdens info'!D66</f>
        <v>75000</v>
      </c>
      <c r="J16" s="506">
        <v>0</v>
      </c>
      <c r="K16" s="507">
        <v>0.01</v>
      </c>
      <c r="L16" s="498">
        <f>'Gårdens info'!$D$10/('Gårdens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M16" s="498">
        <f>'Gårdens info'!$D$11/('Gårdens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N16" s="498">
        <f>'Gårdens info'!$D$12/('Gårdens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O16" s="498">
        <f>'Gårdens info'!$D$13/('Gårdens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P16" s="498">
        <f>'Gårdens info'!$D$14/('Gårdens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Q16" s="498">
        <f>'Gårdens info'!$D$15/('Gårdens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R16" s="498">
        <f>'Gårdens info'!$D$16/('Gårdens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S16" s="498">
        <f>'Gårdens info'!$D$17/('Gårdens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T16" s="498">
        <f>'Gårdens info'!$D$18/('Gårdens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U16" s="498">
        <f>'Gårdens info'!$D$22/('Gårdens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0.18518518518518517</v>
      </c>
      <c r="V16" s="498">
        <f>'Gårdens info'!$D$23/('Gårdens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W16" s="498">
        <f>'Gårdens info'!$D$24/('Gårdens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0.14814814814814814</v>
      </c>
      <c r="X16" s="498">
        <f>'Gårdens info'!$D$25/('Gårdens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Y16" s="498">
        <f>'Gårdens info'!$D$26/('Gårdens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0.18518518518518517</v>
      </c>
      <c r="Z16" s="498">
        <f>'Gårdens info'!$D$27/('Gårdens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AA16" s="498">
        <f>'Gårdens info'!$D$28/('Gårdens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0.1111111111111111</v>
      </c>
      <c r="AB16" s="498">
        <f>'Gårdens info'!$D$31/('Gårdens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0.1111111111111111</v>
      </c>
      <c r="AC16" s="498">
        <f>'Gårdens info'!$D$32/('Gårdens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AD16" s="498">
        <f>'Gårdens info'!$D$33/('Gårdens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AE16" s="498">
        <f>'Gårdens info'!$D$34/('Gårdens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AF16" s="498">
        <f>'Gårdens info'!$D$35/('Gårdens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AG16" s="498">
        <f>'Gårdens info'!$D$36/('Gårdens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AH16" s="499">
        <f t="shared" si="8"/>
        <v>1</v>
      </c>
      <c r="AI16" s="36">
        <f t="shared" si="9"/>
        <v>111.1111111111111</v>
      </c>
      <c r="AJ16" s="21">
        <f t="shared" si="10"/>
        <v>111.1111111111111</v>
      </c>
      <c r="AK16" s="21">
        <f t="shared" si="11"/>
        <v>111.1111111111111</v>
      </c>
      <c r="AL16" s="21">
        <f t="shared" si="11"/>
        <v>111.1111111111111</v>
      </c>
      <c r="AM16" s="21">
        <f t="shared" si="0"/>
        <v>0</v>
      </c>
      <c r="AN16" s="21">
        <f t="shared" si="0"/>
        <v>0</v>
      </c>
      <c r="AO16" s="21">
        <f t="shared" si="0"/>
        <v>0</v>
      </c>
      <c r="AP16" s="21">
        <f t="shared" si="0"/>
        <v>0</v>
      </c>
      <c r="AQ16" s="21">
        <f t="shared" si="0"/>
        <v>0</v>
      </c>
      <c r="AR16" s="21">
        <f t="shared" si="12"/>
        <v>555.55555555555554</v>
      </c>
      <c r="AS16" s="21">
        <f t="shared" si="13"/>
        <v>111.1111111111111</v>
      </c>
      <c r="AT16" s="21">
        <f t="shared" si="14"/>
        <v>444.4444444444444</v>
      </c>
      <c r="AU16" s="21">
        <f t="shared" si="15"/>
        <v>111.1111111111111</v>
      </c>
      <c r="AV16" s="21">
        <f t="shared" si="16"/>
        <v>555.55555555555554</v>
      </c>
      <c r="AW16" s="21">
        <f t="shared" si="17"/>
        <v>111.1111111111111</v>
      </c>
      <c r="AX16" s="21">
        <f t="shared" si="18"/>
        <v>333.33333333333331</v>
      </c>
      <c r="AY16" s="21">
        <f t="shared" si="19"/>
        <v>333.33333333333331</v>
      </c>
      <c r="AZ16" s="21">
        <f t="shared" si="20"/>
        <v>0</v>
      </c>
      <c r="BA16" s="21">
        <f t="shared" si="21"/>
        <v>0</v>
      </c>
      <c r="BB16" s="21">
        <f t="shared" si="21"/>
        <v>0</v>
      </c>
      <c r="BC16" s="21">
        <f t="shared" si="22"/>
        <v>0</v>
      </c>
      <c r="BD16" s="21">
        <f t="shared" si="23"/>
        <v>0</v>
      </c>
      <c r="BE16" s="36">
        <f t="shared" si="24"/>
        <v>69.444444444444443</v>
      </c>
      <c r="BF16" s="21">
        <f t="shared" si="25"/>
        <v>69.444444444444443</v>
      </c>
      <c r="BG16" s="21">
        <f t="shared" si="26"/>
        <v>69.444444444444443</v>
      </c>
      <c r="BH16" s="21">
        <f t="shared" si="26"/>
        <v>69.444444444444443</v>
      </c>
      <c r="BI16" s="21">
        <f t="shared" si="2"/>
        <v>0</v>
      </c>
      <c r="BJ16" s="21">
        <f t="shared" si="2"/>
        <v>0</v>
      </c>
      <c r="BK16" s="21">
        <f t="shared" si="2"/>
        <v>0</v>
      </c>
      <c r="BL16" s="21">
        <f t="shared" si="2"/>
        <v>0</v>
      </c>
      <c r="BM16" s="21">
        <f t="shared" si="2"/>
        <v>0</v>
      </c>
      <c r="BN16" s="21">
        <f t="shared" si="27"/>
        <v>347.22222222222223</v>
      </c>
      <c r="BO16" s="21">
        <f t="shared" si="28"/>
        <v>69.444444444444443</v>
      </c>
      <c r="BP16" s="21">
        <f t="shared" si="29"/>
        <v>277.77777777777777</v>
      </c>
      <c r="BQ16" s="21">
        <f t="shared" si="30"/>
        <v>69.444444444444443</v>
      </c>
      <c r="BR16" s="21">
        <f t="shared" si="31"/>
        <v>347.22222222222223</v>
      </c>
      <c r="BS16" s="21">
        <f t="shared" si="32"/>
        <v>69.444444444444443</v>
      </c>
      <c r="BT16" s="21">
        <f t="shared" si="33"/>
        <v>208.33333333333331</v>
      </c>
      <c r="BU16" s="21">
        <f t="shared" si="34"/>
        <v>208.33333333333331</v>
      </c>
      <c r="BV16" s="21">
        <f t="shared" si="35"/>
        <v>0</v>
      </c>
      <c r="BW16" s="21">
        <f t="shared" si="36"/>
        <v>0</v>
      </c>
      <c r="BX16" s="21">
        <f t="shared" si="36"/>
        <v>0</v>
      </c>
      <c r="BY16" s="21">
        <f t="shared" si="37"/>
        <v>0</v>
      </c>
      <c r="BZ16" s="21">
        <f t="shared" si="38"/>
        <v>0</v>
      </c>
      <c r="CA16" s="36">
        <f t="shared" si="39"/>
        <v>27.777777777777775</v>
      </c>
      <c r="CB16" s="21">
        <f t="shared" si="40"/>
        <v>27.777777777777775</v>
      </c>
      <c r="CC16" s="21">
        <f t="shared" si="41"/>
        <v>27.777777777777775</v>
      </c>
      <c r="CD16" s="21">
        <f t="shared" si="41"/>
        <v>27.777777777777775</v>
      </c>
      <c r="CE16" s="21">
        <f t="shared" si="4"/>
        <v>0</v>
      </c>
      <c r="CF16" s="21">
        <f t="shared" si="4"/>
        <v>0</v>
      </c>
      <c r="CG16" s="21">
        <f t="shared" si="4"/>
        <v>0</v>
      </c>
      <c r="CH16" s="21">
        <f t="shared" si="4"/>
        <v>0</v>
      </c>
      <c r="CI16" s="21">
        <f t="shared" si="4"/>
        <v>0</v>
      </c>
      <c r="CJ16" s="21">
        <f t="shared" si="42"/>
        <v>138.88888888888889</v>
      </c>
      <c r="CK16" s="21">
        <f t="shared" si="43"/>
        <v>27.777777777777775</v>
      </c>
      <c r="CL16" s="21">
        <f t="shared" si="44"/>
        <v>111.1111111111111</v>
      </c>
      <c r="CM16" s="21">
        <f t="shared" si="45"/>
        <v>27.777777777777775</v>
      </c>
      <c r="CN16" s="21">
        <f t="shared" si="46"/>
        <v>138.88888888888889</v>
      </c>
      <c r="CO16" s="21">
        <f t="shared" si="47"/>
        <v>27.777777777777775</v>
      </c>
      <c r="CP16" s="21">
        <f t="shared" si="48"/>
        <v>83.333333333333329</v>
      </c>
      <c r="CQ16" s="21">
        <f t="shared" si="49"/>
        <v>83.333333333333329</v>
      </c>
      <c r="CR16" s="21">
        <f t="shared" si="50"/>
        <v>0</v>
      </c>
      <c r="CS16" s="21">
        <f t="shared" si="51"/>
        <v>0</v>
      </c>
      <c r="CT16" s="21">
        <f t="shared" si="51"/>
        <v>0</v>
      </c>
      <c r="CU16" s="21">
        <f t="shared" si="52"/>
        <v>0</v>
      </c>
      <c r="CV16" s="21">
        <f t="shared" si="53"/>
        <v>0</v>
      </c>
      <c r="CW16" s="36">
        <f t="shared" si="54"/>
        <v>5.5555555555555554</v>
      </c>
      <c r="CX16" s="21">
        <f t="shared" si="55"/>
        <v>5.5555555555555554</v>
      </c>
      <c r="CY16" s="21">
        <f t="shared" si="56"/>
        <v>5.5555555555555554</v>
      </c>
      <c r="CZ16" s="21">
        <f t="shared" si="56"/>
        <v>5.5555555555555554</v>
      </c>
      <c r="DA16" s="21">
        <f t="shared" si="6"/>
        <v>0</v>
      </c>
      <c r="DB16" s="21">
        <f t="shared" si="6"/>
        <v>0</v>
      </c>
      <c r="DC16" s="21">
        <f t="shared" si="6"/>
        <v>0</v>
      </c>
      <c r="DD16" s="21">
        <f t="shared" si="6"/>
        <v>0</v>
      </c>
      <c r="DE16" s="21">
        <f t="shared" si="6"/>
        <v>0</v>
      </c>
      <c r="DF16" s="21">
        <f t="shared" si="57"/>
        <v>27.777777777777775</v>
      </c>
      <c r="DG16" s="21">
        <f t="shared" si="58"/>
        <v>5.5555555555555554</v>
      </c>
      <c r="DH16" s="21">
        <f t="shared" si="59"/>
        <v>22.222222222222221</v>
      </c>
      <c r="DI16" s="21">
        <f t="shared" si="60"/>
        <v>5.5555555555555554</v>
      </c>
      <c r="DJ16" s="21">
        <f t="shared" si="61"/>
        <v>27.777777777777775</v>
      </c>
      <c r="DK16" s="21">
        <f t="shared" si="62"/>
        <v>5.5555555555555554</v>
      </c>
      <c r="DL16" s="21">
        <f t="shared" si="63"/>
        <v>16.666666666666664</v>
      </c>
      <c r="DM16" s="21">
        <f t="shared" si="64"/>
        <v>16.666666666666664</v>
      </c>
      <c r="DN16" s="21">
        <f t="shared" si="65"/>
        <v>0</v>
      </c>
      <c r="DO16" s="21">
        <f t="shared" si="66"/>
        <v>0</v>
      </c>
      <c r="DP16" s="21">
        <f t="shared" si="66"/>
        <v>0</v>
      </c>
      <c r="DQ16" s="21">
        <f t="shared" si="67"/>
        <v>0</v>
      </c>
      <c r="DR16" s="533">
        <f t="shared" si="68"/>
        <v>0</v>
      </c>
    </row>
    <row r="17" spans="1:122" s="732" customFormat="1" ht="13.8" thickBot="1" x14ac:dyDescent="0.3">
      <c r="B17" s="730" t="str">
        <f>'Gårdens info'!C67</f>
        <v>Kylutrymme, 20 m2</v>
      </c>
      <c r="D17" s="730"/>
      <c r="E17" s="733">
        <f>'Gårdens info'!J67</f>
        <v>2010</v>
      </c>
      <c r="F17" s="730"/>
      <c r="G17" s="730"/>
      <c r="H17" s="735">
        <v>25</v>
      </c>
      <c r="I17" s="733">
        <f>'Gårdens info'!D67</f>
        <v>13000</v>
      </c>
      <c r="J17" s="735">
        <v>0</v>
      </c>
      <c r="K17" s="736">
        <v>0.01</v>
      </c>
      <c r="L17" s="738">
        <f>'Gårdens info'!$D$10/('Gårdens info'!$D$10+'Gårdens info'!$D$11+'Gårdens info'!$D$12+'Gårdens info'!$D$13+'Gårdens info'!$D$14+'Gårdens info'!$D$15+'Gårdens info'!$D$16+'Gårdens info'!$D$17+'Gårdens info'!$D$18+'Gårdens info'!$D$22+'Gårdens info'!$D$23+'Gårdens info'!$D$24+'Gårdens info'!$D$25+'Gårdens info'!$D$26+'Gårdens info'!$D$27+'Gårdens info'!$D$28)</f>
        <v>4.1666666666666664E-2</v>
      </c>
      <c r="M17" s="738">
        <f>'Gårdens info'!$D$11/('Gårdens info'!$D$10+'Gårdens info'!$D$11+'Gårdens info'!$D$12+'Gårdens info'!$D$13+'Gårdens info'!$D$14+'Gårdens info'!$D$15+'Gårdens info'!$D$16+'Gårdens info'!$D$17+'Gårdens info'!$D$18+'Gårdens info'!$D$22+'Gårdens info'!$D$23+'Gårdens info'!$D$24+'Gårdens info'!$D$25+'Gårdens info'!$D$26+'Gårdens info'!$D$27+'Gårdens info'!$D$28)</f>
        <v>4.1666666666666664E-2</v>
      </c>
      <c r="N17" s="738">
        <f>'Gårdens info'!$D$12/('Gårdens info'!$D$10+'Gårdens info'!$D$11+'Gårdens info'!$D$12+'Gårdens info'!$D$13+'Gårdens info'!$D$14+'Gårdens info'!$D$15+'Gårdens info'!$D$16+'Gårdens info'!$D$17+'Gårdens info'!$D$18+'Gårdens info'!$D$22+'Gårdens info'!$D$23+'Gårdens info'!$D$24+'Gårdens info'!$D$25+'Gårdens info'!$D$26+'Gårdens info'!$D$27+'Gårdens info'!$D$28)</f>
        <v>4.1666666666666664E-2</v>
      </c>
      <c r="O17" s="738">
        <f>'Gårdens info'!$D$13/('Gårdens info'!$D$10+'Gårdens info'!$D$11+'Gårdens info'!$D$12+'Gårdens info'!$D$13+'Gårdens info'!$D$14+'Gårdens info'!$D$15+'Gårdens info'!$D$16+'Gårdens info'!$D$17+'Gårdens info'!$D$18+'Gårdens info'!$D$22+'Gårdens info'!$D$23+'Gårdens info'!$D$24+'Gårdens info'!$D$25+'Gårdens info'!$D$26+'Gårdens info'!$D$27+'Gårdens info'!$D$28)</f>
        <v>4.1666666666666664E-2</v>
      </c>
      <c r="P17" s="738">
        <f>'Gårdens info'!$D$14/('Gårdens info'!$D$10+'Gårdens info'!$D$11+'Gårdens info'!$D$12+'Gårdens info'!$D$13+'Gårdens info'!$D$14+'Gårdens info'!$D$15+'Gårdens info'!$D$16+'Gårdens info'!$D$17+'Gårdens info'!$D$18+'Gårdens info'!$D$22+'Gårdens info'!$D$23+'Gårdens info'!$D$24+'Gårdens info'!$D$25+'Gårdens info'!$D$26+'Gårdens info'!$D$27+'Gårdens info'!$D$28)</f>
        <v>0</v>
      </c>
      <c r="Q17" s="738">
        <f>'Gårdens info'!$D$15/('Gårdens info'!$D$10+'Gårdens info'!$D$11+'Gårdens info'!$D$12+'Gårdens info'!$D$13+'Gårdens info'!$D$14+'Gårdens info'!$D$15+'Gårdens info'!$D$16+'Gårdens info'!$D$17+'Gårdens info'!$D$18+'Gårdens info'!$D$22+'Gårdens info'!$D$23+'Gårdens info'!$D$24+'Gårdens info'!$D$25+'Gårdens info'!$D$26+'Gårdens info'!$D$27+'Gårdens info'!$D$28)</f>
        <v>0</v>
      </c>
      <c r="R17" s="738">
        <f>'Gårdens info'!$D$16/('Gårdens info'!$D$10+'Gårdens info'!$D$11+'Gårdens info'!$D$12+'Gårdens info'!$D$13+'Gårdens info'!$D$14+'Gårdens info'!$D$15+'Gårdens info'!$D$16+'Gårdens info'!$D$17+'Gårdens info'!$D$18+'Gårdens info'!$D$22+'Gårdens info'!$D$23+'Gårdens info'!$D$24+'Gårdens info'!$D$25+'Gårdens info'!$D$26+'Gårdens info'!$D$27+'Gårdens info'!$D$28)</f>
        <v>0</v>
      </c>
      <c r="S17" s="738">
        <f>'Gårdens info'!$D$17/('Gårdens info'!$D$10+'Gårdens info'!$D$11+'Gårdens info'!$D$12+'Gårdens info'!$D$13+'Gårdens info'!$D$14+'Gårdens info'!$D$15+'Gårdens info'!$D$16+'Gårdens info'!$D$17+'Gårdens info'!$D$18+'Gårdens info'!$D$22+'Gårdens info'!$D$23+'Gårdens info'!$D$24+'Gårdens info'!$D$25+'Gårdens info'!$D$26+'Gårdens info'!$D$27+'Gårdens info'!$D$28)</f>
        <v>0</v>
      </c>
      <c r="T17" s="738">
        <f>'Gårdens info'!$D$18/('Gårdens info'!$D$10+'Gårdens info'!$D$11+'Gårdens info'!$D$12+'Gårdens info'!$D$13+'Gårdens info'!$D$14+'Gårdens info'!$D$15+'Gårdens info'!$D$16+'Gårdens info'!$D$17+'Gårdens info'!$D$18+'Gårdens info'!$D$22+'Gårdens info'!$D$23+'Gårdens info'!$D$24+'Gårdens info'!$D$25+'Gårdens info'!$D$26+'Gårdens info'!$D$27+'Gårdens info'!$D$28)</f>
        <v>0</v>
      </c>
      <c r="U17" s="738">
        <f>'Gårdens info'!$D$22/('Gårdens info'!$D$10+'Gårdens info'!$D$11+'Gårdens info'!$D$12+'Gårdens info'!$D$13+'Gårdens info'!$D$14+'Gårdens info'!$D$15+'Gårdens info'!$D$16+'Gårdens info'!$D$17+'Gårdens info'!$D$18+'Gårdens info'!$D$22+'Gårdens info'!$D$23+'Gårdens info'!$D$24+'Gårdens info'!$D$25+'Gårdens info'!$D$26+'Gårdens info'!$D$27+'Gårdens info'!$D$28)</f>
        <v>0.20833333333333334</v>
      </c>
      <c r="V17" s="738">
        <f>'Gårdens info'!$D$23/('Gårdens info'!$D$10+'Gårdens info'!$D$11+'Gårdens info'!$D$12+'Gårdens info'!$D$13+'Gårdens info'!$D$14+'Gårdens info'!$D$15+'Gårdens info'!$D$16+'Gårdens info'!$D$17+'Gårdens info'!$D$18+'Gårdens info'!$D$22+'Gårdens info'!$D$23+'Gårdens info'!$D$24+'Gårdens info'!$D$25+'Gårdens info'!$D$26+'Gårdens info'!$D$27+'Gårdens info'!$D$28)</f>
        <v>4.1666666666666664E-2</v>
      </c>
      <c r="W17" s="738">
        <f>'Gårdens info'!$D$24/('Gårdens info'!$D$10+'Gårdens info'!$D$11+'Gårdens info'!$D$12+'Gårdens info'!$D$13+'Gårdens info'!$D$14+'Gårdens info'!$D$15+'Gårdens info'!$D$16+'Gårdens info'!$D$17+'Gårdens info'!$D$18+'Gårdens info'!$D$22+'Gårdens info'!$D$23+'Gårdens info'!$D$24+'Gårdens info'!$D$25+'Gårdens info'!$D$26+'Gårdens info'!$D$27+'Gårdens info'!$D$28)</f>
        <v>0.16666666666666666</v>
      </c>
      <c r="X17" s="738">
        <f>'Gårdens info'!$D$25/('Gårdens info'!$D$10+'Gårdens info'!$D$11+'Gårdens info'!$D$12+'Gårdens info'!$D$13+'Gårdens info'!$D$14+'Gårdens info'!$D$15+'Gårdens info'!$D$16+'Gårdens info'!$D$17+'Gårdens info'!$D$18+'Gårdens info'!$D$22+'Gårdens info'!$D$23+'Gårdens info'!$D$24+'Gårdens info'!$D$25+'Gårdens info'!$D$26+'Gårdens info'!$D$27+'Gårdens info'!$D$28)</f>
        <v>4.1666666666666664E-2</v>
      </c>
      <c r="Y17" s="738">
        <f>'Gårdens info'!$D$26/('Gårdens info'!$D$10+'Gårdens info'!$D$11+'Gårdens info'!$D$12+'Gårdens info'!$D$13+'Gårdens info'!$D$14+'Gårdens info'!$D$15+'Gårdens info'!$D$16+'Gårdens info'!$D$17+'Gårdens info'!$D$18+'Gårdens info'!$D$22+'Gårdens info'!$D$23+'Gårdens info'!$D$24+'Gårdens info'!$D$25+'Gårdens info'!$D$26+'Gårdens info'!$D$27+'Gårdens info'!$D$28)</f>
        <v>0.20833333333333334</v>
      </c>
      <c r="Z17" s="738">
        <f>'Gårdens info'!$D$27/('Gårdens info'!$D$10+'Gårdens info'!$D$11+'Gårdens info'!$D$12+'Gårdens info'!$D$13+'Gårdens info'!$D$14+'Gårdens info'!$D$15+'Gårdens info'!$D$16+'Gårdens info'!$D$17+'Gårdens info'!$D$18+'Gårdens info'!$D$22+'Gårdens info'!$D$23+'Gårdens info'!$D$24+'Gårdens info'!$D$25+'Gårdens info'!$D$26+'Gårdens info'!$D$27+'Gårdens info'!$D$28)</f>
        <v>4.1666666666666664E-2</v>
      </c>
      <c r="AA17" s="738">
        <f>'Gårdens info'!$D$28/('Gårdens info'!$D$10+'Gårdens info'!$D$11+'Gårdens info'!$D$12+'Gårdens info'!$D$13+'Gårdens info'!$D$14+'Gårdens info'!$D$15+'Gårdens info'!$D$16+'Gårdens info'!$D$17+'Gårdens info'!$D$18+'Gårdens info'!$D$22+'Gårdens info'!$D$23+'Gårdens info'!$D$24+'Gårdens info'!$D$25+'Gårdens info'!$D$26+'Gårdens info'!$D$27+'Gårdens info'!$D$28)</f>
        <v>0.125</v>
      </c>
      <c r="AB17" s="738">
        <v>0</v>
      </c>
      <c r="AC17" s="738">
        <v>0</v>
      </c>
      <c r="AD17" s="738">
        <v>0</v>
      </c>
      <c r="AE17" s="738">
        <v>0</v>
      </c>
      <c r="AF17" s="738">
        <v>0</v>
      </c>
      <c r="AG17" s="738">
        <v>0</v>
      </c>
      <c r="AH17" s="743">
        <f t="shared" si="8"/>
        <v>1</v>
      </c>
      <c r="AI17" s="741">
        <f t="shared" si="9"/>
        <v>21.666666666666664</v>
      </c>
      <c r="AJ17" s="740">
        <f t="shared" si="10"/>
        <v>21.666666666666664</v>
      </c>
      <c r="AK17" s="740">
        <f t="shared" si="11"/>
        <v>21.666666666666664</v>
      </c>
      <c r="AL17" s="740">
        <f t="shared" si="11"/>
        <v>21.666666666666664</v>
      </c>
      <c r="AM17" s="740">
        <f t="shared" si="0"/>
        <v>0</v>
      </c>
      <c r="AN17" s="740">
        <f t="shared" si="0"/>
        <v>0</v>
      </c>
      <c r="AO17" s="740">
        <f t="shared" si="0"/>
        <v>0</v>
      </c>
      <c r="AP17" s="740">
        <f t="shared" si="0"/>
        <v>0</v>
      </c>
      <c r="AQ17" s="740">
        <f t="shared" si="0"/>
        <v>0</v>
      </c>
      <c r="AR17" s="740">
        <f t="shared" si="12"/>
        <v>108.33333333333334</v>
      </c>
      <c r="AS17" s="740">
        <f t="shared" si="13"/>
        <v>21.666666666666664</v>
      </c>
      <c r="AT17" s="740">
        <f t="shared" si="14"/>
        <v>86.666666666666657</v>
      </c>
      <c r="AU17" s="740">
        <f t="shared" si="15"/>
        <v>21.666666666666664</v>
      </c>
      <c r="AV17" s="740">
        <f t="shared" si="16"/>
        <v>108.33333333333334</v>
      </c>
      <c r="AW17" s="740">
        <f t="shared" si="17"/>
        <v>21.666666666666664</v>
      </c>
      <c r="AX17" s="740">
        <f t="shared" si="18"/>
        <v>65</v>
      </c>
      <c r="AY17" s="740">
        <f t="shared" si="19"/>
        <v>0</v>
      </c>
      <c r="AZ17" s="740">
        <f t="shared" si="20"/>
        <v>0</v>
      </c>
      <c r="BA17" s="740">
        <f t="shared" si="21"/>
        <v>0</v>
      </c>
      <c r="BB17" s="740">
        <f t="shared" si="21"/>
        <v>0</v>
      </c>
      <c r="BC17" s="740">
        <f t="shared" si="22"/>
        <v>0</v>
      </c>
      <c r="BD17" s="740">
        <f t="shared" si="23"/>
        <v>0</v>
      </c>
      <c r="BE17" s="741">
        <f t="shared" si="24"/>
        <v>13.541666666666666</v>
      </c>
      <c r="BF17" s="740">
        <f t="shared" si="25"/>
        <v>13.541666666666666</v>
      </c>
      <c r="BG17" s="740">
        <f t="shared" si="26"/>
        <v>13.541666666666666</v>
      </c>
      <c r="BH17" s="740">
        <f t="shared" si="26"/>
        <v>13.541666666666666</v>
      </c>
      <c r="BI17" s="740">
        <f t="shared" si="2"/>
        <v>0</v>
      </c>
      <c r="BJ17" s="740">
        <f t="shared" si="2"/>
        <v>0</v>
      </c>
      <c r="BK17" s="740">
        <f t="shared" si="2"/>
        <v>0</v>
      </c>
      <c r="BL17" s="740">
        <f t="shared" si="2"/>
        <v>0</v>
      </c>
      <c r="BM17" s="740">
        <f t="shared" si="2"/>
        <v>0</v>
      </c>
      <c r="BN17" s="740">
        <f t="shared" si="27"/>
        <v>67.708333333333343</v>
      </c>
      <c r="BO17" s="740">
        <f t="shared" si="28"/>
        <v>13.541666666666666</v>
      </c>
      <c r="BP17" s="740">
        <f t="shared" si="29"/>
        <v>54.166666666666664</v>
      </c>
      <c r="BQ17" s="740">
        <f t="shared" si="30"/>
        <v>13.541666666666666</v>
      </c>
      <c r="BR17" s="740">
        <f t="shared" si="31"/>
        <v>67.708333333333343</v>
      </c>
      <c r="BS17" s="740">
        <f t="shared" si="32"/>
        <v>13.541666666666666</v>
      </c>
      <c r="BT17" s="740">
        <f t="shared" si="33"/>
        <v>40.625</v>
      </c>
      <c r="BU17" s="740">
        <f t="shared" si="34"/>
        <v>0</v>
      </c>
      <c r="BV17" s="740">
        <f t="shared" si="35"/>
        <v>0</v>
      </c>
      <c r="BW17" s="740">
        <f t="shared" si="36"/>
        <v>0</v>
      </c>
      <c r="BX17" s="740">
        <f t="shared" si="36"/>
        <v>0</v>
      </c>
      <c r="BY17" s="740">
        <f t="shared" si="37"/>
        <v>0</v>
      </c>
      <c r="BZ17" s="740">
        <f t="shared" si="38"/>
        <v>0</v>
      </c>
      <c r="CA17" s="741">
        <f t="shared" si="39"/>
        <v>5.4166666666666661</v>
      </c>
      <c r="CB17" s="740">
        <f t="shared" si="40"/>
        <v>5.4166666666666661</v>
      </c>
      <c r="CC17" s="740">
        <f t="shared" si="41"/>
        <v>5.4166666666666661</v>
      </c>
      <c r="CD17" s="740">
        <f t="shared" si="41"/>
        <v>5.4166666666666661</v>
      </c>
      <c r="CE17" s="740">
        <f t="shared" si="4"/>
        <v>0</v>
      </c>
      <c r="CF17" s="740">
        <f t="shared" si="4"/>
        <v>0</v>
      </c>
      <c r="CG17" s="740">
        <f t="shared" si="4"/>
        <v>0</v>
      </c>
      <c r="CH17" s="740">
        <f t="shared" si="4"/>
        <v>0</v>
      </c>
      <c r="CI17" s="740">
        <f t="shared" si="4"/>
        <v>0</v>
      </c>
      <c r="CJ17" s="740">
        <f t="shared" si="42"/>
        <v>27.083333333333336</v>
      </c>
      <c r="CK17" s="740">
        <f t="shared" si="43"/>
        <v>5.4166666666666661</v>
      </c>
      <c r="CL17" s="740">
        <f t="shared" si="44"/>
        <v>21.666666666666664</v>
      </c>
      <c r="CM17" s="740">
        <f t="shared" si="45"/>
        <v>5.4166666666666661</v>
      </c>
      <c r="CN17" s="740">
        <f t="shared" si="46"/>
        <v>27.083333333333336</v>
      </c>
      <c r="CO17" s="740">
        <f t="shared" si="47"/>
        <v>5.4166666666666661</v>
      </c>
      <c r="CP17" s="740">
        <f t="shared" si="48"/>
        <v>16.25</v>
      </c>
      <c r="CQ17" s="740">
        <f t="shared" si="49"/>
        <v>0</v>
      </c>
      <c r="CR17" s="740">
        <f t="shared" si="50"/>
        <v>0</v>
      </c>
      <c r="CS17" s="740">
        <f t="shared" si="51"/>
        <v>0</v>
      </c>
      <c r="CT17" s="740">
        <f t="shared" si="51"/>
        <v>0</v>
      </c>
      <c r="CU17" s="740">
        <f t="shared" si="52"/>
        <v>0</v>
      </c>
      <c r="CV17" s="740">
        <f t="shared" si="53"/>
        <v>0</v>
      </c>
      <c r="CW17" s="741">
        <f t="shared" si="54"/>
        <v>1.0833333333333333</v>
      </c>
      <c r="CX17" s="740">
        <f t="shared" si="55"/>
        <v>1.0833333333333333</v>
      </c>
      <c r="CY17" s="740">
        <f t="shared" si="56"/>
        <v>1.0833333333333333</v>
      </c>
      <c r="CZ17" s="740">
        <f t="shared" si="56"/>
        <v>1.0833333333333333</v>
      </c>
      <c r="DA17" s="740">
        <f t="shared" si="6"/>
        <v>0</v>
      </c>
      <c r="DB17" s="740">
        <f t="shared" si="6"/>
        <v>0</v>
      </c>
      <c r="DC17" s="740">
        <f t="shared" si="6"/>
        <v>0</v>
      </c>
      <c r="DD17" s="740">
        <f t="shared" si="6"/>
        <v>0</v>
      </c>
      <c r="DE17" s="740">
        <f t="shared" si="6"/>
        <v>0</v>
      </c>
      <c r="DF17" s="740">
        <f t="shared" si="57"/>
        <v>5.416666666666667</v>
      </c>
      <c r="DG17" s="740">
        <f t="shared" si="58"/>
        <v>1.0833333333333333</v>
      </c>
      <c r="DH17" s="740">
        <f t="shared" si="59"/>
        <v>4.333333333333333</v>
      </c>
      <c r="DI17" s="740">
        <f t="shared" si="60"/>
        <v>1.0833333333333333</v>
      </c>
      <c r="DJ17" s="740">
        <f t="shared" si="61"/>
        <v>5.416666666666667</v>
      </c>
      <c r="DK17" s="740">
        <f t="shared" si="62"/>
        <v>1.0833333333333333</v>
      </c>
      <c r="DL17" s="740">
        <f t="shared" si="63"/>
        <v>3.25</v>
      </c>
      <c r="DM17" s="740">
        <f t="shared" si="64"/>
        <v>0</v>
      </c>
      <c r="DN17" s="740">
        <f t="shared" si="65"/>
        <v>0</v>
      </c>
      <c r="DO17" s="740">
        <f t="shared" si="66"/>
        <v>0</v>
      </c>
      <c r="DP17" s="740">
        <f t="shared" si="66"/>
        <v>0</v>
      </c>
      <c r="DQ17" s="740">
        <f t="shared" si="67"/>
        <v>0</v>
      </c>
      <c r="DR17" s="744">
        <f t="shared" si="68"/>
        <v>0</v>
      </c>
    </row>
    <row r="18" spans="1:122" s="732" customFormat="1" ht="13.8" thickBot="1" x14ac:dyDescent="0.3">
      <c r="B18" s="730" t="str">
        <f>'Gårdens info'!C68</f>
        <v>trädgårdsproduktionens byggnad X</v>
      </c>
      <c r="D18" s="730"/>
      <c r="E18" s="733">
        <f>'Gårdens info'!J68</f>
        <v>0</v>
      </c>
      <c r="F18" s="730"/>
      <c r="G18" s="730"/>
      <c r="H18" s="735">
        <v>25</v>
      </c>
      <c r="I18" s="733">
        <f>'Gårdens info'!D68</f>
        <v>0</v>
      </c>
      <c r="J18" s="735">
        <v>0</v>
      </c>
      <c r="K18" s="736">
        <v>0.01</v>
      </c>
      <c r="L18" s="738">
        <f>'Gårdens info'!$D$10/('Gårdens info'!$D$10+'Gårdens info'!$D$11+'Gårdens info'!$D$12+'Gårdens info'!$D$13+'Gårdens info'!$D$14+'Gårdens info'!$D$15+'Gårdens info'!$D$16+'Gårdens info'!$D$17+'Gårdens info'!$D$18+'Gårdens info'!$D$22+'Gårdens info'!$D$23+'Gårdens info'!$D$24+'Gårdens info'!$D$25+'Gårdens info'!$D$26+'Gårdens info'!$D$27+'Gårdens info'!$D$28)</f>
        <v>4.1666666666666664E-2</v>
      </c>
      <c r="M18" s="738">
        <f>'Gårdens info'!$D$11/('Gårdens info'!$D$10+'Gårdens info'!$D$11+'Gårdens info'!$D$12+'Gårdens info'!$D$13+'Gårdens info'!$D$14+'Gårdens info'!$D$15+'Gårdens info'!$D$16+'Gårdens info'!$D$17+'Gårdens info'!$D$18+'Gårdens info'!$D$22+'Gårdens info'!$D$23+'Gårdens info'!$D$24+'Gårdens info'!$D$25+'Gårdens info'!$D$26+'Gårdens info'!$D$27+'Gårdens info'!$D$28)</f>
        <v>4.1666666666666664E-2</v>
      </c>
      <c r="N18" s="738">
        <f>'Gårdens info'!$D$12/('Gårdens info'!$D$10+'Gårdens info'!$D$11+'Gårdens info'!$D$12+'Gårdens info'!$D$13+'Gårdens info'!$D$14+'Gårdens info'!$D$15+'Gårdens info'!$D$16+'Gårdens info'!$D$17+'Gårdens info'!$D$18+'Gårdens info'!$D$22+'Gårdens info'!$D$23+'Gårdens info'!$D$24+'Gårdens info'!$D$25+'Gårdens info'!$D$26+'Gårdens info'!$D$27+'Gårdens info'!$D$28)</f>
        <v>4.1666666666666664E-2</v>
      </c>
      <c r="O18" s="738">
        <f>'Gårdens info'!$D$13/('Gårdens info'!$D$10+'Gårdens info'!$D$11+'Gårdens info'!$D$12+'Gårdens info'!$D$13+'Gårdens info'!$D$14+'Gårdens info'!$D$15+'Gårdens info'!$D$16+'Gårdens info'!$D$17+'Gårdens info'!$D$18+'Gårdens info'!$D$22+'Gårdens info'!$D$23+'Gårdens info'!$D$24+'Gårdens info'!$D$25+'Gårdens info'!$D$26+'Gårdens info'!$D$27+'Gårdens info'!$D$28)</f>
        <v>4.1666666666666664E-2</v>
      </c>
      <c r="P18" s="738">
        <f>'Gårdens info'!$D$14/('Gårdens info'!$D$10+'Gårdens info'!$D$11+'Gårdens info'!$D$12+'Gårdens info'!$D$13+'Gårdens info'!$D$14+'Gårdens info'!$D$15+'Gårdens info'!$D$16+'Gårdens info'!$D$17+'Gårdens info'!$D$18+'Gårdens info'!$D$22+'Gårdens info'!$D$23+'Gårdens info'!$D$24+'Gårdens info'!$D$25+'Gårdens info'!$D$26+'Gårdens info'!$D$27+'Gårdens info'!$D$28)</f>
        <v>0</v>
      </c>
      <c r="Q18" s="738">
        <f>'Gårdens info'!$D$15/('Gårdens info'!$D$10+'Gårdens info'!$D$11+'Gårdens info'!$D$12+'Gårdens info'!$D$13+'Gårdens info'!$D$14+'Gårdens info'!$D$15+'Gårdens info'!$D$16+'Gårdens info'!$D$17+'Gårdens info'!$D$18+'Gårdens info'!$D$22+'Gårdens info'!$D$23+'Gårdens info'!$D$24+'Gårdens info'!$D$25+'Gårdens info'!$D$26+'Gårdens info'!$D$27+'Gårdens info'!$D$28)</f>
        <v>0</v>
      </c>
      <c r="R18" s="738">
        <f>'Gårdens info'!$D$16/('Gårdens info'!$D$10+'Gårdens info'!$D$11+'Gårdens info'!$D$12+'Gårdens info'!$D$13+'Gårdens info'!$D$14+'Gårdens info'!$D$15+'Gårdens info'!$D$16+'Gårdens info'!$D$17+'Gårdens info'!$D$18+'Gårdens info'!$D$22+'Gårdens info'!$D$23+'Gårdens info'!$D$24+'Gårdens info'!$D$25+'Gårdens info'!$D$26+'Gårdens info'!$D$27+'Gårdens info'!$D$28)</f>
        <v>0</v>
      </c>
      <c r="S18" s="738">
        <f>'Gårdens info'!$D$17/('Gårdens info'!$D$10+'Gårdens info'!$D$11+'Gårdens info'!$D$12+'Gårdens info'!$D$13+'Gårdens info'!$D$14+'Gårdens info'!$D$15+'Gårdens info'!$D$16+'Gårdens info'!$D$17+'Gårdens info'!$D$18+'Gårdens info'!$D$22+'Gårdens info'!$D$23+'Gårdens info'!$D$24+'Gårdens info'!$D$25+'Gårdens info'!$D$26+'Gårdens info'!$D$27+'Gårdens info'!$D$28)</f>
        <v>0</v>
      </c>
      <c r="T18" s="738">
        <f>'Gårdens info'!$D$18/('Gårdens info'!$D$10+'Gårdens info'!$D$11+'Gårdens info'!$D$12+'Gårdens info'!$D$13+'Gårdens info'!$D$14+'Gårdens info'!$D$15+'Gårdens info'!$D$16+'Gårdens info'!$D$17+'Gårdens info'!$D$18+'Gårdens info'!$D$22+'Gårdens info'!$D$23+'Gårdens info'!$D$24+'Gårdens info'!$D$25+'Gårdens info'!$D$26+'Gårdens info'!$D$27+'Gårdens info'!$D$28)</f>
        <v>0</v>
      </c>
      <c r="U18" s="738">
        <f>'Gårdens info'!$D$22/('Gårdens info'!$D$10+'Gårdens info'!$D$11+'Gårdens info'!$D$12+'Gårdens info'!$D$13+'Gårdens info'!$D$14+'Gårdens info'!$D$15+'Gårdens info'!$D$16+'Gårdens info'!$D$17+'Gårdens info'!$D$18+'Gårdens info'!$D$22+'Gårdens info'!$D$23+'Gårdens info'!$D$24+'Gårdens info'!$D$25+'Gårdens info'!$D$26+'Gårdens info'!$D$27+'Gårdens info'!$D$28)</f>
        <v>0.20833333333333334</v>
      </c>
      <c r="V18" s="738">
        <f>'Gårdens info'!$D$23/('Gårdens info'!$D$10+'Gårdens info'!$D$11+'Gårdens info'!$D$12+'Gårdens info'!$D$13+'Gårdens info'!$D$14+'Gårdens info'!$D$15+'Gårdens info'!$D$16+'Gårdens info'!$D$17+'Gårdens info'!$D$18+'Gårdens info'!$D$22+'Gårdens info'!$D$23+'Gårdens info'!$D$24+'Gårdens info'!$D$25+'Gårdens info'!$D$26+'Gårdens info'!$D$27+'Gårdens info'!$D$28)</f>
        <v>4.1666666666666664E-2</v>
      </c>
      <c r="W18" s="738">
        <f>'Gårdens info'!$D$24/('Gårdens info'!$D$10+'Gårdens info'!$D$11+'Gårdens info'!$D$12+'Gårdens info'!$D$13+'Gårdens info'!$D$14+'Gårdens info'!$D$15+'Gårdens info'!$D$16+'Gårdens info'!$D$17+'Gårdens info'!$D$18+'Gårdens info'!$D$22+'Gårdens info'!$D$23+'Gårdens info'!$D$24+'Gårdens info'!$D$25+'Gårdens info'!$D$26+'Gårdens info'!$D$27+'Gårdens info'!$D$28)</f>
        <v>0.16666666666666666</v>
      </c>
      <c r="X18" s="738">
        <f>'Gårdens info'!$D$25/('Gårdens info'!$D$10+'Gårdens info'!$D$11+'Gårdens info'!$D$12+'Gårdens info'!$D$13+'Gårdens info'!$D$14+'Gårdens info'!$D$15+'Gårdens info'!$D$16+'Gårdens info'!$D$17+'Gårdens info'!$D$18+'Gårdens info'!$D$22+'Gårdens info'!$D$23+'Gårdens info'!$D$24+'Gårdens info'!$D$25+'Gårdens info'!$D$26+'Gårdens info'!$D$27+'Gårdens info'!$D$28)</f>
        <v>4.1666666666666664E-2</v>
      </c>
      <c r="Y18" s="738">
        <f>'Gårdens info'!$D$26/('Gårdens info'!$D$10+'Gårdens info'!$D$11+'Gårdens info'!$D$12+'Gårdens info'!$D$13+'Gårdens info'!$D$14+'Gårdens info'!$D$15+'Gårdens info'!$D$16+'Gårdens info'!$D$17+'Gårdens info'!$D$18+'Gårdens info'!$D$22+'Gårdens info'!$D$23+'Gårdens info'!$D$24+'Gårdens info'!$D$25+'Gårdens info'!$D$26+'Gårdens info'!$D$27+'Gårdens info'!$D$28)</f>
        <v>0.20833333333333334</v>
      </c>
      <c r="Z18" s="738">
        <f>'Gårdens info'!$D$27/('Gårdens info'!$D$10+'Gårdens info'!$D$11+'Gårdens info'!$D$12+'Gårdens info'!$D$13+'Gårdens info'!$D$14+'Gårdens info'!$D$15+'Gårdens info'!$D$16+'Gårdens info'!$D$17+'Gårdens info'!$D$18+'Gårdens info'!$D$22+'Gårdens info'!$D$23+'Gårdens info'!$D$24+'Gårdens info'!$D$25+'Gårdens info'!$D$26+'Gårdens info'!$D$27+'Gårdens info'!$D$28)</f>
        <v>4.1666666666666664E-2</v>
      </c>
      <c r="AA18" s="738">
        <f>'Gårdens info'!$D$28/('Gårdens info'!$D$10+'Gårdens info'!$D$11+'Gårdens info'!$D$12+'Gårdens info'!$D$13+'Gårdens info'!$D$14+'Gårdens info'!$D$15+'Gårdens info'!$D$16+'Gårdens info'!$D$17+'Gårdens info'!$D$18+'Gårdens info'!$D$22+'Gårdens info'!$D$23+'Gårdens info'!$D$24+'Gårdens info'!$D$25+'Gårdens info'!$D$26+'Gårdens info'!$D$27+'Gårdens info'!$D$28)</f>
        <v>0.125</v>
      </c>
      <c r="AB18" s="738">
        <v>0</v>
      </c>
      <c r="AC18" s="738">
        <v>0</v>
      </c>
      <c r="AD18" s="738">
        <v>0</v>
      </c>
      <c r="AE18" s="738">
        <v>0</v>
      </c>
      <c r="AF18" s="738">
        <v>0</v>
      </c>
      <c r="AG18" s="738">
        <v>0</v>
      </c>
      <c r="AH18" s="743">
        <f t="shared" si="8"/>
        <v>1</v>
      </c>
      <c r="AI18" s="741">
        <f t="shared" si="9"/>
        <v>0</v>
      </c>
      <c r="AJ18" s="740">
        <f t="shared" si="10"/>
        <v>0</v>
      </c>
      <c r="AK18" s="740">
        <f t="shared" si="11"/>
        <v>0</v>
      </c>
      <c r="AL18" s="740">
        <f t="shared" si="11"/>
        <v>0</v>
      </c>
      <c r="AM18" s="740">
        <f t="shared" si="0"/>
        <v>0</v>
      </c>
      <c r="AN18" s="740">
        <f t="shared" si="0"/>
        <v>0</v>
      </c>
      <c r="AO18" s="740">
        <f t="shared" si="0"/>
        <v>0</v>
      </c>
      <c r="AP18" s="740">
        <f t="shared" si="0"/>
        <v>0</v>
      </c>
      <c r="AQ18" s="740">
        <f t="shared" si="0"/>
        <v>0</v>
      </c>
      <c r="AR18" s="740">
        <f t="shared" si="12"/>
        <v>0</v>
      </c>
      <c r="AS18" s="740">
        <f t="shared" si="13"/>
        <v>0</v>
      </c>
      <c r="AT18" s="740">
        <f t="shared" si="14"/>
        <v>0</v>
      </c>
      <c r="AU18" s="740">
        <f t="shared" si="15"/>
        <v>0</v>
      </c>
      <c r="AV18" s="740">
        <f t="shared" si="16"/>
        <v>0</v>
      </c>
      <c r="AW18" s="740">
        <f t="shared" si="17"/>
        <v>0</v>
      </c>
      <c r="AX18" s="740">
        <f t="shared" si="18"/>
        <v>0</v>
      </c>
      <c r="AY18" s="740">
        <f t="shared" si="19"/>
        <v>0</v>
      </c>
      <c r="AZ18" s="740">
        <f t="shared" si="20"/>
        <v>0</v>
      </c>
      <c r="BA18" s="740">
        <f t="shared" si="21"/>
        <v>0</v>
      </c>
      <c r="BB18" s="740">
        <f t="shared" si="21"/>
        <v>0</v>
      </c>
      <c r="BC18" s="740">
        <f t="shared" si="22"/>
        <v>0</v>
      </c>
      <c r="BD18" s="740">
        <f t="shared" si="23"/>
        <v>0</v>
      </c>
      <c r="BE18" s="741">
        <f t="shared" si="24"/>
        <v>0</v>
      </c>
      <c r="BF18" s="740">
        <f t="shared" si="25"/>
        <v>0</v>
      </c>
      <c r="BG18" s="740">
        <f t="shared" si="26"/>
        <v>0</v>
      </c>
      <c r="BH18" s="740">
        <f t="shared" si="26"/>
        <v>0</v>
      </c>
      <c r="BI18" s="740">
        <f t="shared" si="2"/>
        <v>0</v>
      </c>
      <c r="BJ18" s="740">
        <f t="shared" si="2"/>
        <v>0</v>
      </c>
      <c r="BK18" s="740">
        <f t="shared" si="2"/>
        <v>0</v>
      </c>
      <c r="BL18" s="740">
        <f t="shared" si="2"/>
        <v>0</v>
      </c>
      <c r="BM18" s="740">
        <f t="shared" si="2"/>
        <v>0</v>
      </c>
      <c r="BN18" s="740">
        <f t="shared" si="27"/>
        <v>0</v>
      </c>
      <c r="BO18" s="740">
        <f t="shared" si="28"/>
        <v>0</v>
      </c>
      <c r="BP18" s="740">
        <f t="shared" si="29"/>
        <v>0</v>
      </c>
      <c r="BQ18" s="740">
        <f t="shared" si="30"/>
        <v>0</v>
      </c>
      <c r="BR18" s="740">
        <f t="shared" si="31"/>
        <v>0</v>
      </c>
      <c r="BS18" s="740">
        <f t="shared" si="32"/>
        <v>0</v>
      </c>
      <c r="BT18" s="740">
        <f t="shared" si="33"/>
        <v>0</v>
      </c>
      <c r="BU18" s="740">
        <f t="shared" si="34"/>
        <v>0</v>
      </c>
      <c r="BV18" s="740">
        <f t="shared" si="35"/>
        <v>0</v>
      </c>
      <c r="BW18" s="740">
        <f t="shared" si="36"/>
        <v>0</v>
      </c>
      <c r="BX18" s="740">
        <f t="shared" si="36"/>
        <v>0</v>
      </c>
      <c r="BY18" s="740">
        <f t="shared" si="37"/>
        <v>0</v>
      </c>
      <c r="BZ18" s="740">
        <f t="shared" si="38"/>
        <v>0</v>
      </c>
      <c r="CA18" s="741">
        <f t="shared" si="39"/>
        <v>0</v>
      </c>
      <c r="CB18" s="740">
        <f t="shared" si="40"/>
        <v>0</v>
      </c>
      <c r="CC18" s="740">
        <f t="shared" si="41"/>
        <v>0</v>
      </c>
      <c r="CD18" s="740">
        <f t="shared" si="41"/>
        <v>0</v>
      </c>
      <c r="CE18" s="740">
        <f t="shared" si="4"/>
        <v>0</v>
      </c>
      <c r="CF18" s="740">
        <f t="shared" si="4"/>
        <v>0</v>
      </c>
      <c r="CG18" s="740">
        <f t="shared" si="4"/>
        <v>0</v>
      </c>
      <c r="CH18" s="740">
        <f t="shared" si="4"/>
        <v>0</v>
      </c>
      <c r="CI18" s="740">
        <f t="shared" si="4"/>
        <v>0</v>
      </c>
      <c r="CJ18" s="740">
        <f t="shared" si="42"/>
        <v>0</v>
      </c>
      <c r="CK18" s="740">
        <f t="shared" si="43"/>
        <v>0</v>
      </c>
      <c r="CL18" s="740">
        <f t="shared" si="44"/>
        <v>0</v>
      </c>
      <c r="CM18" s="740">
        <f t="shared" si="45"/>
        <v>0</v>
      </c>
      <c r="CN18" s="740">
        <f t="shared" si="46"/>
        <v>0</v>
      </c>
      <c r="CO18" s="740">
        <f t="shared" si="47"/>
        <v>0</v>
      </c>
      <c r="CP18" s="740">
        <f t="shared" si="48"/>
        <v>0</v>
      </c>
      <c r="CQ18" s="740">
        <f t="shared" si="49"/>
        <v>0</v>
      </c>
      <c r="CR18" s="740">
        <f t="shared" si="50"/>
        <v>0</v>
      </c>
      <c r="CS18" s="740">
        <f t="shared" si="51"/>
        <v>0</v>
      </c>
      <c r="CT18" s="740">
        <f t="shared" si="51"/>
        <v>0</v>
      </c>
      <c r="CU18" s="740">
        <f t="shared" si="52"/>
        <v>0</v>
      </c>
      <c r="CV18" s="740">
        <f t="shared" si="53"/>
        <v>0</v>
      </c>
      <c r="CW18" s="741">
        <f t="shared" si="54"/>
        <v>0</v>
      </c>
      <c r="CX18" s="740">
        <f t="shared" si="55"/>
        <v>0</v>
      </c>
      <c r="CY18" s="740">
        <f t="shared" si="56"/>
        <v>0</v>
      </c>
      <c r="CZ18" s="740">
        <f t="shared" si="56"/>
        <v>0</v>
      </c>
      <c r="DA18" s="740">
        <f t="shared" si="6"/>
        <v>0</v>
      </c>
      <c r="DB18" s="740">
        <f t="shared" si="6"/>
        <v>0</v>
      </c>
      <c r="DC18" s="740">
        <f t="shared" si="6"/>
        <v>0</v>
      </c>
      <c r="DD18" s="740">
        <f t="shared" si="6"/>
        <v>0</v>
      </c>
      <c r="DE18" s="740">
        <f t="shared" si="6"/>
        <v>0</v>
      </c>
      <c r="DF18" s="740">
        <f t="shared" si="57"/>
        <v>0</v>
      </c>
      <c r="DG18" s="740">
        <f t="shared" si="58"/>
        <v>0</v>
      </c>
      <c r="DH18" s="740">
        <f t="shared" si="59"/>
        <v>0</v>
      </c>
      <c r="DI18" s="740">
        <f t="shared" si="60"/>
        <v>0</v>
      </c>
      <c r="DJ18" s="740">
        <f t="shared" si="61"/>
        <v>0</v>
      </c>
      <c r="DK18" s="740">
        <f t="shared" si="62"/>
        <v>0</v>
      </c>
      <c r="DL18" s="740">
        <f t="shared" si="63"/>
        <v>0</v>
      </c>
      <c r="DM18" s="740">
        <f t="shared" si="64"/>
        <v>0</v>
      </c>
      <c r="DN18" s="740">
        <f t="shared" si="65"/>
        <v>0</v>
      </c>
      <c r="DO18" s="740">
        <f t="shared" si="66"/>
        <v>0</v>
      </c>
      <c r="DP18" s="740">
        <f t="shared" si="66"/>
        <v>0</v>
      </c>
      <c r="DQ18" s="740">
        <f t="shared" si="67"/>
        <v>0</v>
      </c>
      <c r="DR18" s="744">
        <f t="shared" si="68"/>
        <v>0</v>
      </c>
    </row>
    <row r="19" spans="1:122" s="732" customFormat="1" ht="13.8" thickBot="1" x14ac:dyDescent="0.3">
      <c r="B19" s="730" t="str">
        <f>'Gårdens info'!C69</f>
        <v>trädgårdsproduktionens byggnad X</v>
      </c>
      <c r="D19" s="730"/>
      <c r="E19" s="733">
        <f>'Gårdens info'!J69</f>
        <v>0</v>
      </c>
      <c r="F19" s="730"/>
      <c r="G19" s="730"/>
      <c r="H19" s="735">
        <v>25</v>
      </c>
      <c r="I19" s="733">
        <f>'Gårdens info'!D69</f>
        <v>0</v>
      </c>
      <c r="J19" s="735">
        <v>0</v>
      </c>
      <c r="K19" s="736">
        <v>0.01</v>
      </c>
      <c r="L19" s="738">
        <f>'Gårdens info'!$D$10/('Gårdens info'!$D$10+'Gårdens info'!$D$11+'Gårdens info'!$D$12+'Gårdens info'!$D$13+'Gårdens info'!$D$22+'Gårdens info'!$D$23+'Gårdens info'!$D$24+'Gårdens info'!$D$25+'Gårdens info'!$D$26+'Gårdens info'!$D$27+'Gårdens info'!$D$28)</f>
        <v>4.1666666666666664E-2</v>
      </c>
      <c r="M19" s="738">
        <f>'Gårdens info'!$D$11/('Gårdens info'!$D$10+'Gårdens info'!$D$11+'Gårdens info'!$D$12+'Gårdens info'!$D$13+'Gårdens info'!$D$22+'Gårdens info'!$D$23+'Gårdens info'!$D$24+'Gårdens info'!$D$25+'Gårdens info'!$D$26+'Gårdens info'!$D$27+'Gårdens info'!$D$28)</f>
        <v>4.1666666666666664E-2</v>
      </c>
      <c r="N19" s="738">
        <f>'Gårdens info'!$D$12/('Gårdens info'!$D$10+'Gårdens info'!$D$11+'Gårdens info'!$D$12+'Gårdens info'!$D$13+'Gårdens info'!$D$22+'Gårdens info'!$D$23+'Gårdens info'!$D$24+'Gårdens info'!$D$25+'Gårdens info'!$D$26+'Gårdens info'!$D$27+'Gårdens info'!$D$28)</f>
        <v>4.1666666666666664E-2</v>
      </c>
      <c r="O19" s="738">
        <f>'Gårdens info'!$D$13/('Gårdens info'!$D$10+'Gårdens info'!$D$11+'Gårdens info'!$D$12+'Gårdens info'!$D$13+'Gårdens info'!$D$22+'Gårdens info'!$D$23+'Gårdens info'!$D$24+'Gårdens info'!$D$25+'Gårdens info'!$D$26+'Gårdens info'!$D$27+'Gårdens info'!$D$28)</f>
        <v>4.1666666666666664E-2</v>
      </c>
      <c r="P19" s="738">
        <f>'Gårdens info'!$D$14/('Gårdens info'!$D$10+'Gårdens info'!$D$11+'Gårdens info'!$D$12+'Gårdens info'!$D$13+'Gårdens info'!$D$22+'Gårdens info'!$D$23+'Gårdens info'!$D$24+'Gårdens info'!$D$25+'Gårdens info'!$D$26+'Gårdens info'!$D$27+'Gårdens info'!$D$28)</f>
        <v>0</v>
      </c>
      <c r="Q19" s="738">
        <f>'Gårdens info'!$D$15/('Gårdens info'!$D$10+'Gårdens info'!$D$11+'Gårdens info'!$D$12+'Gårdens info'!$D$13+'Gårdens info'!$D$22+'Gårdens info'!$D$23+'Gårdens info'!$D$24+'Gårdens info'!$D$25+'Gårdens info'!$D$26+'Gårdens info'!$D$27+'Gårdens info'!$D$28)</f>
        <v>0</v>
      </c>
      <c r="R19" s="738">
        <f>'Gårdens info'!$D$16/('Gårdens info'!$D$10+'Gårdens info'!$D$11+'Gårdens info'!$D$12+'Gårdens info'!$D$13+'Gårdens info'!$D$22+'Gårdens info'!$D$23+'Gårdens info'!$D$24+'Gårdens info'!$D$25+'Gårdens info'!$D$26+'Gårdens info'!$D$27+'Gårdens info'!$D$28)</f>
        <v>0</v>
      </c>
      <c r="S19" s="738">
        <f>'Gårdens info'!$D$17/('Gårdens info'!$D$10+'Gårdens info'!$D$11+'Gårdens info'!$D$12+'Gårdens info'!$D$13+'Gårdens info'!$D$22+'Gårdens info'!$D$23+'Gårdens info'!$D$24+'Gårdens info'!$D$25+'Gårdens info'!$D$26+'Gårdens info'!$D$27+'Gårdens info'!$D$28)</f>
        <v>0</v>
      </c>
      <c r="T19" s="738">
        <f>'Gårdens info'!$D$18/('Gårdens info'!$D$10+'Gårdens info'!$D$11+'Gårdens info'!$D$12+'Gårdens info'!$D$13+'Gårdens info'!$D$22+'Gårdens info'!$D$23+'Gårdens info'!$D$24+'Gårdens info'!$D$25+'Gårdens info'!$D$26+'Gårdens info'!$D$27+'Gårdens info'!$D$28)</f>
        <v>0</v>
      </c>
      <c r="U19" s="738">
        <f>'Gårdens info'!$D$22/('Gårdens info'!$D$10+'Gårdens info'!$D$11+'Gårdens info'!$D$12+'Gårdens info'!$D$13+'Gårdens info'!$D$22+'Gårdens info'!$D$23+'Gårdens info'!$D$24+'Gårdens info'!$D$25+'Gårdens info'!$D$26+'Gårdens info'!$D$27+'Gårdens info'!$D$28)</f>
        <v>0.20833333333333334</v>
      </c>
      <c r="V19" s="738">
        <f>'Gårdens info'!$D$23/('Gårdens info'!$D$10+'Gårdens info'!$D$11+'Gårdens info'!$D$12+'Gårdens info'!$D$13+'Gårdens info'!$D$22+'Gårdens info'!$D$23+'Gårdens info'!$D$24+'Gårdens info'!$D$25+'Gårdens info'!$D$26+'Gårdens info'!$D$27+'Gårdens info'!$D$28)</f>
        <v>4.1666666666666664E-2</v>
      </c>
      <c r="W19" s="738">
        <f>'Gårdens info'!$D$24/('Gårdens info'!$D$10+'Gårdens info'!$D$11+'Gårdens info'!$D$12+'Gårdens info'!$D$13+'Gårdens info'!$D$22+'Gårdens info'!$D$23+'Gårdens info'!$D$24+'Gårdens info'!$D$25+'Gårdens info'!$D$26+'Gårdens info'!$D$27+'Gårdens info'!$D$28)</f>
        <v>0.16666666666666666</v>
      </c>
      <c r="X19" s="738">
        <f>'Gårdens info'!$D$25/('Gårdens info'!$D$10+'Gårdens info'!$D$11+'Gårdens info'!$D$12+'Gårdens info'!$D$13+'Gårdens info'!$D$22+'Gårdens info'!$D$23+'Gårdens info'!$D$24+'Gårdens info'!$D$25+'Gårdens info'!$D$26+'Gårdens info'!$D$27+'Gårdens info'!$D$28)</f>
        <v>4.1666666666666664E-2</v>
      </c>
      <c r="Y19" s="738">
        <f>'Gårdens info'!$D$26/('Gårdens info'!$D$10+'Gårdens info'!$D$11+'Gårdens info'!$D$12+'Gårdens info'!$D$13+'Gårdens info'!$D$22+'Gårdens info'!$D$23+'Gårdens info'!$D$24+'Gårdens info'!$D$25+'Gårdens info'!$D$26+'Gårdens info'!$D$27+'Gårdens info'!$D$28)</f>
        <v>0.20833333333333334</v>
      </c>
      <c r="Z19" s="738">
        <f>'Gårdens info'!$D$27/('Gårdens info'!$D$10+'Gårdens info'!$D$11+'Gårdens info'!$D$12+'Gårdens info'!$D$13+'Gårdens info'!$D$22+'Gårdens info'!$D$23+'Gårdens info'!$D$24+'Gårdens info'!$D$25+'Gårdens info'!$D$26+'Gårdens info'!$D$27+'Gårdens info'!$D$28)</f>
        <v>4.1666666666666664E-2</v>
      </c>
      <c r="AA19" s="738">
        <f>'Gårdens info'!$D$28/('Gårdens info'!$D$10+'Gårdens info'!$D$11+'Gårdens info'!$D$12+'Gårdens info'!$D$13+'Gårdens info'!$D$22+'Gårdens info'!$D$23+'Gårdens info'!$D$24+'Gårdens info'!$D$25+'Gårdens info'!$D$26+'Gårdens info'!$D$27+'Gårdens info'!$D$28)</f>
        <v>0.125</v>
      </c>
      <c r="AB19" s="738">
        <v>0</v>
      </c>
      <c r="AC19" s="738">
        <v>0</v>
      </c>
      <c r="AD19" s="738">
        <v>0</v>
      </c>
      <c r="AE19" s="738">
        <v>0</v>
      </c>
      <c r="AF19" s="738">
        <v>0</v>
      </c>
      <c r="AG19" s="738">
        <v>0</v>
      </c>
      <c r="AH19" s="743">
        <f t="shared" si="8"/>
        <v>1</v>
      </c>
      <c r="AI19" s="741">
        <f t="shared" si="9"/>
        <v>0</v>
      </c>
      <c r="AJ19" s="740">
        <f t="shared" si="10"/>
        <v>0</v>
      </c>
      <c r="AK19" s="740">
        <f t="shared" si="11"/>
        <v>0</v>
      </c>
      <c r="AL19" s="740">
        <f t="shared" si="11"/>
        <v>0</v>
      </c>
      <c r="AM19" s="740">
        <f t="shared" si="0"/>
        <v>0</v>
      </c>
      <c r="AN19" s="740">
        <f t="shared" si="0"/>
        <v>0</v>
      </c>
      <c r="AO19" s="740">
        <f t="shared" si="0"/>
        <v>0</v>
      </c>
      <c r="AP19" s="740">
        <f t="shared" si="0"/>
        <v>0</v>
      </c>
      <c r="AQ19" s="740">
        <f t="shared" si="0"/>
        <v>0</v>
      </c>
      <c r="AR19" s="740">
        <f t="shared" si="12"/>
        <v>0</v>
      </c>
      <c r="AS19" s="740">
        <f t="shared" si="13"/>
        <v>0</v>
      </c>
      <c r="AT19" s="740">
        <f t="shared" si="14"/>
        <v>0</v>
      </c>
      <c r="AU19" s="740">
        <f t="shared" si="15"/>
        <v>0</v>
      </c>
      <c r="AV19" s="740">
        <f t="shared" si="16"/>
        <v>0</v>
      </c>
      <c r="AW19" s="740">
        <f t="shared" si="17"/>
        <v>0</v>
      </c>
      <c r="AX19" s="740">
        <f t="shared" si="18"/>
        <v>0</v>
      </c>
      <c r="AY19" s="740">
        <f t="shared" si="19"/>
        <v>0</v>
      </c>
      <c r="AZ19" s="740">
        <f t="shared" si="20"/>
        <v>0</v>
      </c>
      <c r="BA19" s="740">
        <f t="shared" si="21"/>
        <v>0</v>
      </c>
      <c r="BB19" s="740">
        <f t="shared" si="21"/>
        <v>0</v>
      </c>
      <c r="BC19" s="740">
        <f t="shared" si="22"/>
        <v>0</v>
      </c>
      <c r="BD19" s="740">
        <f t="shared" si="23"/>
        <v>0</v>
      </c>
      <c r="BE19" s="741">
        <f t="shared" si="24"/>
        <v>0</v>
      </c>
      <c r="BF19" s="740">
        <f t="shared" si="25"/>
        <v>0</v>
      </c>
      <c r="BG19" s="740">
        <f t="shared" ref="BG19:BG20" si="69">IF(($C$7-$E19&lt;=$H19),(($I19+$J19)/2*$C$8*N19),0)</f>
        <v>0</v>
      </c>
      <c r="BH19" s="740">
        <f t="shared" ref="BH19:BH20" si="70">IF(($C$7-$E19&lt;=$H19),(($I19+$J19)/2*$C$8*O19),0)</f>
        <v>0</v>
      </c>
      <c r="BI19" s="740">
        <f t="shared" si="2"/>
        <v>0</v>
      </c>
      <c r="BJ19" s="740">
        <f t="shared" si="2"/>
        <v>0</v>
      </c>
      <c r="BK19" s="740">
        <f t="shared" si="2"/>
        <v>0</v>
      </c>
      <c r="BL19" s="740">
        <f t="shared" si="2"/>
        <v>0</v>
      </c>
      <c r="BM19" s="740">
        <f t="shared" si="2"/>
        <v>0</v>
      </c>
      <c r="BN19" s="740">
        <f t="shared" si="27"/>
        <v>0</v>
      </c>
      <c r="BO19" s="740">
        <f t="shared" si="28"/>
        <v>0</v>
      </c>
      <c r="BP19" s="740">
        <f t="shared" si="29"/>
        <v>0</v>
      </c>
      <c r="BQ19" s="740">
        <f t="shared" si="30"/>
        <v>0</v>
      </c>
      <c r="BR19" s="740">
        <f t="shared" si="31"/>
        <v>0</v>
      </c>
      <c r="BS19" s="740">
        <f t="shared" si="32"/>
        <v>0</v>
      </c>
      <c r="BT19" s="740">
        <f t="shared" si="33"/>
        <v>0</v>
      </c>
      <c r="BU19" s="740">
        <f t="shared" si="34"/>
        <v>0</v>
      </c>
      <c r="BV19" s="740">
        <f t="shared" si="35"/>
        <v>0</v>
      </c>
      <c r="BW19" s="740">
        <f t="shared" ref="BW19:BW20" si="71">IF(($C$7-$E19&lt;=$H19),(($I19+$J19)/2*$C$8*AD19),0)</f>
        <v>0</v>
      </c>
      <c r="BX19" s="740">
        <f t="shared" ref="BX19:BX20" si="72">IF(($C$7-$E19&lt;=$H19),(($I19+$J19)/2*$C$8*AE19),0)</f>
        <v>0</v>
      </c>
      <c r="BY19" s="740">
        <f t="shared" si="37"/>
        <v>0</v>
      </c>
      <c r="BZ19" s="740">
        <f t="shared" si="38"/>
        <v>0</v>
      </c>
      <c r="CA19" s="741">
        <f t="shared" si="39"/>
        <v>0</v>
      </c>
      <c r="CB19" s="740">
        <f t="shared" si="40"/>
        <v>0</v>
      </c>
      <c r="CC19" s="740">
        <f t="shared" ref="CC19:CC20" si="73">$I19*$K19*N19</f>
        <v>0</v>
      </c>
      <c r="CD19" s="740">
        <f t="shared" ref="CD19:CD20" si="74">$I19*$K19*O19</f>
        <v>0</v>
      </c>
      <c r="CE19" s="740">
        <f t="shared" si="4"/>
        <v>0</v>
      </c>
      <c r="CF19" s="740">
        <f t="shared" si="4"/>
        <v>0</v>
      </c>
      <c r="CG19" s="740">
        <f t="shared" si="4"/>
        <v>0</v>
      </c>
      <c r="CH19" s="740">
        <f t="shared" si="4"/>
        <v>0</v>
      </c>
      <c r="CI19" s="740">
        <f t="shared" si="4"/>
        <v>0</v>
      </c>
      <c r="CJ19" s="740">
        <f t="shared" si="42"/>
        <v>0</v>
      </c>
      <c r="CK19" s="740">
        <f t="shared" si="43"/>
        <v>0</v>
      </c>
      <c r="CL19" s="740">
        <f t="shared" si="44"/>
        <v>0</v>
      </c>
      <c r="CM19" s="740">
        <f t="shared" si="45"/>
        <v>0</v>
      </c>
      <c r="CN19" s="740">
        <f t="shared" si="46"/>
        <v>0</v>
      </c>
      <c r="CO19" s="740">
        <f t="shared" si="47"/>
        <v>0</v>
      </c>
      <c r="CP19" s="740">
        <f t="shared" si="48"/>
        <v>0</v>
      </c>
      <c r="CQ19" s="740">
        <f t="shared" si="49"/>
        <v>0</v>
      </c>
      <c r="CR19" s="740">
        <f t="shared" si="50"/>
        <v>0</v>
      </c>
      <c r="CS19" s="740">
        <f t="shared" ref="CS19:CS20" si="75">$I19*$K19*AD19</f>
        <v>0</v>
      </c>
      <c r="CT19" s="740">
        <f t="shared" ref="CT19:CT20" si="76">$I19*$K19*AE19</f>
        <v>0</v>
      </c>
      <c r="CU19" s="740">
        <f t="shared" si="52"/>
        <v>0</v>
      </c>
      <c r="CV19" s="740">
        <f t="shared" si="53"/>
        <v>0</v>
      </c>
      <c r="CW19" s="741">
        <f t="shared" si="54"/>
        <v>0</v>
      </c>
      <c r="CX19" s="740">
        <f t="shared" si="55"/>
        <v>0</v>
      </c>
      <c r="CY19" s="740">
        <f t="shared" ref="CY19:CY20" si="77">$I19*$C$9*N19</f>
        <v>0</v>
      </c>
      <c r="CZ19" s="740">
        <f t="shared" ref="CZ19:CZ20" si="78">$I19*$C$9*O19</f>
        <v>0</v>
      </c>
      <c r="DA19" s="740">
        <f t="shared" si="6"/>
        <v>0</v>
      </c>
      <c r="DB19" s="740">
        <f t="shared" si="6"/>
        <v>0</v>
      </c>
      <c r="DC19" s="740">
        <f t="shared" si="6"/>
        <v>0</v>
      </c>
      <c r="DD19" s="740">
        <f t="shared" si="6"/>
        <v>0</v>
      </c>
      <c r="DE19" s="740">
        <f t="shared" si="6"/>
        <v>0</v>
      </c>
      <c r="DF19" s="740">
        <f t="shared" si="57"/>
        <v>0</v>
      </c>
      <c r="DG19" s="740">
        <f t="shared" si="58"/>
        <v>0</v>
      </c>
      <c r="DH19" s="740">
        <f t="shared" si="59"/>
        <v>0</v>
      </c>
      <c r="DI19" s="740">
        <f t="shared" si="60"/>
        <v>0</v>
      </c>
      <c r="DJ19" s="740">
        <f t="shared" si="61"/>
        <v>0</v>
      </c>
      <c r="DK19" s="740">
        <f t="shared" si="62"/>
        <v>0</v>
      </c>
      <c r="DL19" s="740">
        <f t="shared" si="63"/>
        <v>0</v>
      </c>
      <c r="DM19" s="740">
        <f t="shared" si="64"/>
        <v>0</v>
      </c>
      <c r="DN19" s="740">
        <f t="shared" si="65"/>
        <v>0</v>
      </c>
      <c r="DO19" s="740">
        <f t="shared" ref="DO19:DO20" si="79">$I19*$C$9*AD19</f>
        <v>0</v>
      </c>
      <c r="DP19" s="740">
        <f t="shared" ref="DP19:DP20" si="80">$I19*$C$9*AE19</f>
        <v>0</v>
      </c>
      <c r="DQ19" s="740">
        <f t="shared" si="67"/>
        <v>0</v>
      </c>
      <c r="DR19" s="740">
        <f t="shared" si="68"/>
        <v>0</v>
      </c>
    </row>
    <row r="20" spans="1:122" ht="13.8" thickBot="1" x14ac:dyDescent="0.3">
      <c r="B20" s="49" t="str">
        <f>'Gårdens info'!C70</f>
        <v>byggnad X</v>
      </c>
      <c r="D20" s="49"/>
      <c r="E20" s="360">
        <f>'Gårdens info'!J70</f>
        <v>0</v>
      </c>
      <c r="F20" s="49"/>
      <c r="G20" s="49"/>
      <c r="H20" s="506">
        <v>25</v>
      </c>
      <c r="I20" s="360">
        <f>'Gårdens info'!D70</f>
        <v>0</v>
      </c>
      <c r="J20" s="506">
        <v>0</v>
      </c>
      <c r="K20" s="507">
        <v>0.01</v>
      </c>
      <c r="L20" s="498">
        <f>'Gårdens info'!$D$10/('Gårdens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M20" s="498">
        <f>'Gårdens info'!$D$11/('Gårdens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N20" s="498">
        <f>'Gårdens info'!$D$12/('Gårdens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O20" s="498">
        <f>'Gårdens info'!$D$13/('Gårdens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P20" s="498">
        <f>'Gårdens info'!$D$14/('Gårdens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Q20" s="498">
        <f>'Gårdens info'!$D$15/('Gårdens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R20" s="498">
        <f>'Gårdens info'!$D$16/('Gårdens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S20" s="498">
        <f>'Gårdens info'!$D$17/('Gårdens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T20" s="498">
        <f>'Gårdens info'!$D$18/('Gårdens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U20" s="498">
        <f>'Gårdens info'!$D$22/('Gårdens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0.18518518518518517</v>
      </c>
      <c r="V20" s="498">
        <f>'Gårdens info'!$D$23/('Gårdens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W20" s="498">
        <f>'Gårdens info'!$D$24/('Gårdens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0.14814814814814814</v>
      </c>
      <c r="X20" s="498">
        <f>'Gårdens info'!$D$25/('Gårdens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Y20" s="498">
        <f>'Gårdens info'!$D$26/('Gårdens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0.18518518518518517</v>
      </c>
      <c r="Z20" s="498">
        <f>'Gårdens info'!$D$27/('Gårdens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AA20" s="498">
        <f>'Gårdens info'!$D$28/('Gårdens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0.1111111111111111</v>
      </c>
      <c r="AB20" s="498">
        <f>'Gårdens info'!$D$31/('Gårdens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0.1111111111111111</v>
      </c>
      <c r="AC20" s="498">
        <f>'Gårdens info'!$D$32/('Gårdens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AD20" s="498">
        <f>'Gårdens info'!$D$33/('Gårdens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AE20" s="498">
        <f>'Gårdens info'!$D$34/('Gårdens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AF20" s="498">
        <f>'Gårdens info'!$D$35/('Gårdens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AG20" s="498">
        <f>'Gårdens info'!$D$36/('Gårdens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AH20" s="499">
        <f t="shared" si="8"/>
        <v>1</v>
      </c>
      <c r="AI20" s="741">
        <f t="shared" si="9"/>
        <v>0</v>
      </c>
      <c r="AJ20" s="740">
        <f t="shared" si="10"/>
        <v>0</v>
      </c>
      <c r="AK20" s="740">
        <f t="shared" ref="AK20" si="81">IF((($C$7-$E20)&lt;=$H20),(($I20-$J20)/$H20*N20),0)</f>
        <v>0</v>
      </c>
      <c r="AL20" s="740">
        <f t="shared" ref="AL20" si="82">IF((($C$7-$E20)&lt;=$H20),(($I20-$J20)/$H20*O20),0)</f>
        <v>0</v>
      </c>
      <c r="AM20" s="740">
        <f t="shared" si="0"/>
        <v>0</v>
      </c>
      <c r="AN20" s="740">
        <f t="shared" si="0"/>
        <v>0</v>
      </c>
      <c r="AO20" s="740">
        <f t="shared" si="0"/>
        <v>0</v>
      </c>
      <c r="AP20" s="740">
        <f t="shared" si="0"/>
        <v>0</v>
      </c>
      <c r="AQ20" s="740">
        <f t="shared" si="0"/>
        <v>0</v>
      </c>
      <c r="AR20" s="740">
        <f t="shared" si="12"/>
        <v>0</v>
      </c>
      <c r="AS20" s="740">
        <f t="shared" si="13"/>
        <v>0</v>
      </c>
      <c r="AT20" s="740">
        <f t="shared" si="14"/>
        <v>0</v>
      </c>
      <c r="AU20" s="740">
        <f t="shared" si="15"/>
        <v>0</v>
      </c>
      <c r="AV20" s="740">
        <f t="shared" si="16"/>
        <v>0</v>
      </c>
      <c r="AW20" s="740">
        <f t="shared" si="17"/>
        <v>0</v>
      </c>
      <c r="AX20" s="740">
        <f t="shared" si="18"/>
        <v>0</v>
      </c>
      <c r="AY20" s="740">
        <f t="shared" si="19"/>
        <v>0</v>
      </c>
      <c r="AZ20" s="740">
        <f t="shared" si="20"/>
        <v>0</v>
      </c>
      <c r="BA20" s="740">
        <f t="shared" ref="BA20" si="83">IF((($C$7-$E20)&lt;=$H20),(($I20-$J20)/$H20*AD20),0)</f>
        <v>0</v>
      </c>
      <c r="BB20" s="740">
        <f t="shared" ref="BB20" si="84">IF((($C$7-$E20)&lt;=$H20),(($I20-$J20)/$H20*AE20),0)</f>
        <v>0</v>
      </c>
      <c r="BC20" s="740">
        <f t="shared" si="22"/>
        <v>0</v>
      </c>
      <c r="BD20" s="740">
        <f t="shared" si="23"/>
        <v>0</v>
      </c>
      <c r="BE20" s="741">
        <f t="shared" si="24"/>
        <v>0</v>
      </c>
      <c r="BF20" s="740">
        <f t="shared" si="25"/>
        <v>0</v>
      </c>
      <c r="BG20" s="740">
        <f t="shared" si="69"/>
        <v>0</v>
      </c>
      <c r="BH20" s="740">
        <f t="shared" si="70"/>
        <v>0</v>
      </c>
      <c r="BI20" s="740">
        <f t="shared" si="2"/>
        <v>0</v>
      </c>
      <c r="BJ20" s="740">
        <f t="shared" si="2"/>
        <v>0</v>
      </c>
      <c r="BK20" s="740">
        <f t="shared" si="2"/>
        <v>0</v>
      </c>
      <c r="BL20" s="740">
        <f t="shared" si="2"/>
        <v>0</v>
      </c>
      <c r="BM20" s="740">
        <f t="shared" si="2"/>
        <v>0</v>
      </c>
      <c r="BN20" s="740">
        <f t="shared" si="27"/>
        <v>0</v>
      </c>
      <c r="BO20" s="740">
        <f t="shared" si="28"/>
        <v>0</v>
      </c>
      <c r="BP20" s="740">
        <f t="shared" si="29"/>
        <v>0</v>
      </c>
      <c r="BQ20" s="740">
        <f t="shared" si="30"/>
        <v>0</v>
      </c>
      <c r="BR20" s="740">
        <f t="shared" si="31"/>
        <v>0</v>
      </c>
      <c r="BS20" s="740">
        <f t="shared" si="32"/>
        <v>0</v>
      </c>
      <c r="BT20" s="740">
        <f t="shared" si="33"/>
        <v>0</v>
      </c>
      <c r="BU20" s="740">
        <f t="shared" si="34"/>
        <v>0</v>
      </c>
      <c r="BV20" s="740">
        <f t="shared" si="35"/>
        <v>0</v>
      </c>
      <c r="BW20" s="740">
        <f t="shared" si="71"/>
        <v>0</v>
      </c>
      <c r="BX20" s="740">
        <f t="shared" si="72"/>
        <v>0</v>
      </c>
      <c r="BY20" s="740">
        <f t="shared" si="37"/>
        <v>0</v>
      </c>
      <c r="BZ20" s="740">
        <f t="shared" si="38"/>
        <v>0</v>
      </c>
      <c r="CA20" s="741">
        <f t="shared" si="39"/>
        <v>0</v>
      </c>
      <c r="CB20" s="740">
        <f t="shared" si="40"/>
        <v>0</v>
      </c>
      <c r="CC20" s="740">
        <f t="shared" si="73"/>
        <v>0</v>
      </c>
      <c r="CD20" s="740">
        <f t="shared" si="74"/>
        <v>0</v>
      </c>
      <c r="CE20" s="740">
        <f t="shared" si="4"/>
        <v>0</v>
      </c>
      <c r="CF20" s="740">
        <f t="shared" si="4"/>
        <v>0</v>
      </c>
      <c r="CG20" s="740">
        <f t="shared" si="4"/>
        <v>0</v>
      </c>
      <c r="CH20" s="740">
        <f t="shared" si="4"/>
        <v>0</v>
      </c>
      <c r="CI20" s="740">
        <f t="shared" si="4"/>
        <v>0</v>
      </c>
      <c r="CJ20" s="740">
        <f t="shared" si="42"/>
        <v>0</v>
      </c>
      <c r="CK20" s="740">
        <f t="shared" si="43"/>
        <v>0</v>
      </c>
      <c r="CL20" s="740">
        <f t="shared" si="44"/>
        <v>0</v>
      </c>
      <c r="CM20" s="740">
        <f t="shared" si="45"/>
        <v>0</v>
      </c>
      <c r="CN20" s="740">
        <f t="shared" si="46"/>
        <v>0</v>
      </c>
      <c r="CO20" s="740">
        <f t="shared" si="47"/>
        <v>0</v>
      </c>
      <c r="CP20" s="740">
        <f t="shared" si="48"/>
        <v>0</v>
      </c>
      <c r="CQ20" s="740">
        <f t="shared" si="49"/>
        <v>0</v>
      </c>
      <c r="CR20" s="740">
        <f t="shared" si="50"/>
        <v>0</v>
      </c>
      <c r="CS20" s="740">
        <f t="shared" si="75"/>
        <v>0</v>
      </c>
      <c r="CT20" s="740">
        <f t="shared" si="76"/>
        <v>0</v>
      </c>
      <c r="CU20" s="740">
        <f t="shared" si="52"/>
        <v>0</v>
      </c>
      <c r="CV20" s="740">
        <f t="shared" si="53"/>
        <v>0</v>
      </c>
      <c r="CW20" s="741">
        <f t="shared" si="54"/>
        <v>0</v>
      </c>
      <c r="CX20" s="740">
        <f t="shared" si="55"/>
        <v>0</v>
      </c>
      <c r="CY20" s="740">
        <f t="shared" si="77"/>
        <v>0</v>
      </c>
      <c r="CZ20" s="740">
        <f t="shared" si="78"/>
        <v>0</v>
      </c>
      <c r="DA20" s="740">
        <f t="shared" si="6"/>
        <v>0</v>
      </c>
      <c r="DB20" s="740">
        <f t="shared" si="6"/>
        <v>0</v>
      </c>
      <c r="DC20" s="740">
        <f t="shared" si="6"/>
        <v>0</v>
      </c>
      <c r="DD20" s="740">
        <f t="shared" si="6"/>
        <v>0</v>
      </c>
      <c r="DE20" s="740">
        <f t="shared" si="6"/>
        <v>0</v>
      </c>
      <c r="DF20" s="740">
        <f t="shared" si="57"/>
        <v>0</v>
      </c>
      <c r="DG20" s="740">
        <f t="shared" si="58"/>
        <v>0</v>
      </c>
      <c r="DH20" s="740">
        <f t="shared" si="59"/>
        <v>0</v>
      </c>
      <c r="DI20" s="740">
        <f t="shared" si="60"/>
        <v>0</v>
      </c>
      <c r="DJ20" s="740">
        <f t="shared" si="61"/>
        <v>0</v>
      </c>
      <c r="DK20" s="740">
        <f t="shared" si="62"/>
        <v>0</v>
      </c>
      <c r="DL20" s="740">
        <f t="shared" si="63"/>
        <v>0</v>
      </c>
      <c r="DM20" s="740">
        <f t="shared" si="64"/>
        <v>0</v>
      </c>
      <c r="DN20" s="740">
        <f t="shared" si="65"/>
        <v>0</v>
      </c>
      <c r="DO20" s="740">
        <f t="shared" si="79"/>
        <v>0</v>
      </c>
      <c r="DP20" s="740">
        <f t="shared" si="80"/>
        <v>0</v>
      </c>
      <c r="DQ20" s="740">
        <f t="shared" si="67"/>
        <v>0</v>
      </c>
      <c r="DR20" s="740">
        <f t="shared" si="68"/>
        <v>0</v>
      </c>
    </row>
    <row r="21" spans="1:122" ht="13.8" thickBot="1" x14ac:dyDescent="0.3">
      <c r="B21" s="49" t="str">
        <f>'Gårdens info'!C71</f>
        <v>byggnad X</v>
      </c>
      <c r="D21" s="49"/>
      <c r="E21" s="360">
        <f>'Gårdens info'!J71</f>
        <v>0</v>
      </c>
      <c r="F21" s="49"/>
      <c r="G21" s="49"/>
      <c r="H21" s="506">
        <v>25</v>
      </c>
      <c r="I21" s="360">
        <f>'Gårdens info'!D71</f>
        <v>0</v>
      </c>
      <c r="J21" s="506">
        <v>0</v>
      </c>
      <c r="K21" s="507">
        <v>0.01</v>
      </c>
      <c r="L21" s="498">
        <f>'Gårdens info'!$D$10/('Gårdens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M21" s="498">
        <f>'Gårdens info'!$D$11/('Gårdens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N21" s="498">
        <f>'Gårdens info'!$D$12/('Gårdens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O21" s="498">
        <f>'Gårdens info'!$D$13/('Gårdens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P21" s="498">
        <f>'Gårdens info'!$D$14/('Gårdens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Q21" s="498">
        <f>'Gårdens info'!$D$15/('Gårdens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R21" s="498">
        <f>'Gårdens info'!$D$16/('Gårdens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S21" s="498">
        <f>'Gårdens info'!$D$17/('Gårdens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T21" s="498">
        <f>'Gårdens info'!$D$18/('Gårdens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U21" s="498">
        <f>'Gårdens info'!$D$22/('Gårdens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0.18518518518518517</v>
      </c>
      <c r="V21" s="498">
        <f>'Gårdens info'!$D$23/('Gårdens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W21" s="498">
        <f>'Gårdens info'!$D$24/('Gårdens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0.14814814814814814</v>
      </c>
      <c r="X21" s="498">
        <f>'Gårdens info'!$D$25/('Gårdens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Y21" s="498">
        <f>'Gårdens info'!$D$26/('Gårdens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0.18518518518518517</v>
      </c>
      <c r="Z21" s="498">
        <f>'Gårdens info'!$D$27/('Gårdens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AA21" s="498">
        <f>'Gårdens info'!$D$28/('Gårdens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0.1111111111111111</v>
      </c>
      <c r="AB21" s="498">
        <f>'Gårdens info'!$D$31/('Gårdens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0.1111111111111111</v>
      </c>
      <c r="AC21" s="498">
        <f>'Gårdens info'!$D$32/('Gårdens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AD21" s="498">
        <f>'Gårdens info'!$D$33/('Gårdens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AE21" s="498">
        <f>'Gårdens info'!$D$34/('Gårdens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AF21" s="498">
        <f>'Gårdens info'!$D$35/('Gårdens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AG21" s="498">
        <f>'Gårdens info'!$D$36/('Gårdens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AH21" s="499">
        <f t="shared" si="8"/>
        <v>1</v>
      </c>
      <c r="AI21" s="36">
        <f t="shared" si="9"/>
        <v>0</v>
      </c>
      <c r="AJ21" s="21">
        <f t="shared" si="10"/>
        <v>0</v>
      </c>
      <c r="AK21" s="21">
        <f>IF((($C$7-$E21)&lt;=$H21),(($I21-$J21)/$H21*N21),0)</f>
        <v>0</v>
      </c>
      <c r="AL21" s="21">
        <f>IF((($C$7-$E21)&lt;=$H21),(($I21-$J21)/$H21*O21),0)</f>
        <v>0</v>
      </c>
      <c r="AM21" s="21">
        <f t="shared" ref="AM21:AQ21" si="85">IF((($C$7-$E21)&lt;=$H21),(($I21-$J21)/$H21*P21),0)</f>
        <v>0</v>
      </c>
      <c r="AN21" s="21">
        <f t="shared" si="85"/>
        <v>0</v>
      </c>
      <c r="AO21" s="21">
        <f t="shared" si="85"/>
        <v>0</v>
      </c>
      <c r="AP21" s="21">
        <f t="shared" si="85"/>
        <v>0</v>
      </c>
      <c r="AQ21" s="21">
        <f t="shared" si="85"/>
        <v>0</v>
      </c>
      <c r="AR21" s="21">
        <f t="shared" si="12"/>
        <v>0</v>
      </c>
      <c r="AS21" s="21">
        <f t="shared" si="13"/>
        <v>0</v>
      </c>
      <c r="AT21" s="21">
        <f t="shared" si="14"/>
        <v>0</v>
      </c>
      <c r="AU21" s="21">
        <f t="shared" si="15"/>
        <v>0</v>
      </c>
      <c r="AV21" s="21">
        <f t="shared" si="16"/>
        <v>0</v>
      </c>
      <c r="AW21" s="21">
        <f t="shared" si="17"/>
        <v>0</v>
      </c>
      <c r="AX21" s="21">
        <f>IF((($C$7-$E21)&lt;=$H21),((#REF!-$J21)/$H21*AA21),0)</f>
        <v>0</v>
      </c>
      <c r="AY21" s="21">
        <f t="shared" si="19"/>
        <v>0</v>
      </c>
      <c r="AZ21" s="21">
        <f t="shared" si="20"/>
        <v>0</v>
      </c>
      <c r="BA21" s="21">
        <f>IF((($C$7-$E21)&lt;=$H21),(($I21-$J21)/$H21*AD21),0)</f>
        <v>0</v>
      </c>
      <c r="BB21" s="21">
        <f>IF((($C$7-$E21)&lt;=$H21),(($I21-$J21)/$H21*AE21),0)</f>
        <v>0</v>
      </c>
      <c r="BC21" s="21">
        <f t="shared" si="22"/>
        <v>0</v>
      </c>
      <c r="BD21" s="21">
        <f t="shared" si="23"/>
        <v>0</v>
      </c>
      <c r="BE21" s="36">
        <f t="shared" si="24"/>
        <v>0</v>
      </c>
      <c r="BF21" s="21">
        <f t="shared" si="25"/>
        <v>0</v>
      </c>
      <c r="BG21" s="21">
        <f>IF(($C$7-$E21&lt;=$H21),(($I21+$J21)/2*$C$8*N21),0)</f>
        <v>0</v>
      </c>
      <c r="BH21" s="21">
        <f>IF(($C$7-$E21&lt;=$H21),(($I21+$J21)/2*$C$8*O21),0)</f>
        <v>0</v>
      </c>
      <c r="BI21" s="21">
        <f t="shared" si="2"/>
        <v>0</v>
      </c>
      <c r="BJ21" s="21">
        <f t="shared" si="2"/>
        <v>0</v>
      </c>
      <c r="BK21" s="21">
        <f t="shared" si="2"/>
        <v>0</v>
      </c>
      <c r="BL21" s="21">
        <f t="shared" si="2"/>
        <v>0</v>
      </c>
      <c r="BM21" s="21">
        <f t="shared" si="2"/>
        <v>0</v>
      </c>
      <c r="BN21" s="21">
        <f t="shared" si="27"/>
        <v>0</v>
      </c>
      <c r="BO21" s="21">
        <f t="shared" si="28"/>
        <v>0</v>
      </c>
      <c r="BP21" s="21">
        <f t="shared" si="29"/>
        <v>0</v>
      </c>
      <c r="BQ21" s="21">
        <f t="shared" si="30"/>
        <v>0</v>
      </c>
      <c r="BR21" s="21">
        <f t="shared" si="31"/>
        <v>0</v>
      </c>
      <c r="BS21" s="21">
        <f t="shared" si="32"/>
        <v>0</v>
      </c>
      <c r="BT21" s="21">
        <f t="shared" si="33"/>
        <v>0</v>
      </c>
      <c r="BU21" s="21">
        <f t="shared" si="34"/>
        <v>0</v>
      </c>
      <c r="BV21" s="21">
        <f t="shared" si="35"/>
        <v>0</v>
      </c>
      <c r="BW21" s="21">
        <f>IF(($C$7-$E21&lt;=$H21),(($I21+$J21)/2*$C$8*AD21),0)</f>
        <v>0</v>
      </c>
      <c r="BX21" s="21">
        <f>IF(($C$7-$E21&lt;=$H21),(($I21+$J21)/2*$C$8*AE21),0)</f>
        <v>0</v>
      </c>
      <c r="BY21" s="21">
        <f t="shared" si="37"/>
        <v>0</v>
      </c>
      <c r="BZ21" s="21">
        <f t="shared" si="38"/>
        <v>0</v>
      </c>
      <c r="CA21" s="36">
        <f t="shared" si="39"/>
        <v>0</v>
      </c>
      <c r="CB21" s="21">
        <f t="shared" si="40"/>
        <v>0</v>
      </c>
      <c r="CC21" s="21">
        <f>$I21*$K21*N21</f>
        <v>0</v>
      </c>
      <c r="CD21" s="21">
        <f>$I21*$K21*O21</f>
        <v>0</v>
      </c>
      <c r="CE21" s="21">
        <f t="shared" si="4"/>
        <v>0</v>
      </c>
      <c r="CF21" s="21">
        <f t="shared" si="4"/>
        <v>0</v>
      </c>
      <c r="CG21" s="21">
        <f t="shared" si="4"/>
        <v>0</v>
      </c>
      <c r="CH21" s="21">
        <f t="shared" si="4"/>
        <v>0</v>
      </c>
      <c r="CI21" s="21">
        <f t="shared" si="4"/>
        <v>0</v>
      </c>
      <c r="CJ21" s="21">
        <f t="shared" si="42"/>
        <v>0</v>
      </c>
      <c r="CK21" s="21">
        <f t="shared" si="43"/>
        <v>0</v>
      </c>
      <c r="CL21" s="21">
        <f t="shared" si="44"/>
        <v>0</v>
      </c>
      <c r="CM21" s="21">
        <f t="shared" si="45"/>
        <v>0</v>
      </c>
      <c r="CN21" s="21">
        <f>$I21*$K21*Y21</f>
        <v>0</v>
      </c>
      <c r="CO21" s="21">
        <f t="shared" si="47"/>
        <v>0</v>
      </c>
      <c r="CP21" s="21">
        <f t="shared" si="48"/>
        <v>0</v>
      </c>
      <c r="CQ21" s="21">
        <f t="shared" si="49"/>
        <v>0</v>
      </c>
      <c r="CR21" s="21">
        <f t="shared" si="50"/>
        <v>0</v>
      </c>
      <c r="CS21" s="21">
        <f>$I21*$K21*AD21</f>
        <v>0</v>
      </c>
      <c r="CT21" s="21">
        <f>$I21*$K21*AE21</f>
        <v>0</v>
      </c>
      <c r="CU21" s="21">
        <f t="shared" si="52"/>
        <v>0</v>
      </c>
      <c r="CV21" s="21">
        <f t="shared" si="53"/>
        <v>0</v>
      </c>
      <c r="CW21" s="36">
        <f t="shared" si="54"/>
        <v>0</v>
      </c>
      <c r="CX21" s="21">
        <f t="shared" si="55"/>
        <v>0</v>
      </c>
      <c r="CY21" s="21">
        <f>$I21*$C$9*N21</f>
        <v>0</v>
      </c>
      <c r="CZ21" s="21">
        <f>$I21*$C$9*O21</f>
        <v>0</v>
      </c>
      <c r="DA21" s="21">
        <f t="shared" si="6"/>
        <v>0</v>
      </c>
      <c r="DB21" s="21">
        <f t="shared" si="6"/>
        <v>0</v>
      </c>
      <c r="DC21" s="21">
        <f t="shared" si="6"/>
        <v>0</v>
      </c>
      <c r="DD21" s="21">
        <f t="shared" si="6"/>
        <v>0</v>
      </c>
      <c r="DE21" s="21">
        <f t="shared" si="6"/>
        <v>0</v>
      </c>
      <c r="DF21" s="21">
        <f t="shared" si="57"/>
        <v>0</v>
      </c>
      <c r="DG21" s="21">
        <f t="shared" si="58"/>
        <v>0</v>
      </c>
      <c r="DH21" s="21">
        <f t="shared" si="59"/>
        <v>0</v>
      </c>
      <c r="DI21" s="21">
        <f t="shared" si="60"/>
        <v>0</v>
      </c>
      <c r="DJ21" s="21">
        <f t="shared" si="61"/>
        <v>0</v>
      </c>
      <c r="DK21" s="21">
        <f t="shared" si="62"/>
        <v>0</v>
      </c>
      <c r="DL21" s="21">
        <f t="shared" si="63"/>
        <v>0</v>
      </c>
      <c r="DM21" s="21">
        <f t="shared" si="64"/>
        <v>0</v>
      </c>
      <c r="DN21" s="21">
        <f t="shared" si="65"/>
        <v>0</v>
      </c>
      <c r="DO21" s="21">
        <f>$I21*$C$9*AD21</f>
        <v>0</v>
      </c>
      <c r="DP21" s="21">
        <f>$I21*$C$9*AE21</f>
        <v>0</v>
      </c>
      <c r="DQ21" s="21">
        <f t="shared" si="67"/>
        <v>0</v>
      </c>
      <c r="DR21" s="533">
        <f t="shared" si="68"/>
        <v>0</v>
      </c>
    </row>
    <row r="22" spans="1:122" x14ac:dyDescent="0.25">
      <c r="A22" s="63" t="s">
        <v>196</v>
      </c>
      <c r="B22" s="16"/>
      <c r="C22" s="17"/>
      <c r="D22" s="17"/>
      <c r="E22" s="17"/>
      <c r="F22" s="17"/>
      <c r="G22" s="17"/>
      <c r="H22" s="17"/>
      <c r="I22" s="17"/>
      <c r="J22" s="17"/>
      <c r="K22" s="17"/>
      <c r="L22" s="45"/>
      <c r="M22" s="17"/>
      <c r="N22" s="17"/>
      <c r="O22" s="17"/>
      <c r="P22" s="17"/>
      <c r="Q22" s="17"/>
      <c r="R22" s="17"/>
      <c r="S22" s="17"/>
      <c r="T22" s="17"/>
      <c r="U22" s="17"/>
      <c r="V22" s="17"/>
      <c r="W22" s="17"/>
      <c r="X22" s="17"/>
      <c r="Y22" s="17"/>
      <c r="Z22" s="17"/>
      <c r="AA22" s="17"/>
      <c r="AB22" s="17"/>
      <c r="AC22" s="17"/>
      <c r="AD22" s="17"/>
      <c r="AE22" s="17"/>
      <c r="AF22" s="17"/>
      <c r="AG22" s="17"/>
      <c r="AH22" s="59"/>
      <c r="AI22" s="38">
        <f>SUM(AI14:AI21)</f>
        <v>391.11111111111109</v>
      </c>
      <c r="AJ22" s="18">
        <f t="shared" ref="AJ22:AX22" si="86">SUM(AJ14:AJ21)</f>
        <v>391.11111111111109</v>
      </c>
      <c r="AK22" s="18">
        <f t="shared" si="86"/>
        <v>391.11111111111109</v>
      </c>
      <c r="AL22" s="18">
        <f t="shared" ref="AL22:AQ22" si="87">SUM(AL14:AL21)</f>
        <v>391.11111111111109</v>
      </c>
      <c r="AM22" s="18">
        <f t="shared" si="87"/>
        <v>0</v>
      </c>
      <c r="AN22" s="18">
        <f t="shared" si="87"/>
        <v>0</v>
      </c>
      <c r="AO22" s="18">
        <f t="shared" si="87"/>
        <v>0</v>
      </c>
      <c r="AP22" s="18">
        <f t="shared" si="87"/>
        <v>0</v>
      </c>
      <c r="AQ22" s="18">
        <f t="shared" si="87"/>
        <v>0</v>
      </c>
      <c r="AR22" s="18">
        <f t="shared" si="86"/>
        <v>1955.5555555555554</v>
      </c>
      <c r="AS22" s="18">
        <f t="shared" si="86"/>
        <v>391.11111111111109</v>
      </c>
      <c r="AT22" s="18">
        <f t="shared" si="86"/>
        <v>1564.4444444444443</v>
      </c>
      <c r="AU22" s="18">
        <f t="shared" si="86"/>
        <v>391.11111111111109</v>
      </c>
      <c r="AV22" s="18">
        <f t="shared" si="86"/>
        <v>1955.5555555555554</v>
      </c>
      <c r="AW22" s="18">
        <f t="shared" si="86"/>
        <v>391.11111111111109</v>
      </c>
      <c r="AX22" s="18">
        <f t="shared" si="86"/>
        <v>1173.3333333333333</v>
      </c>
      <c r="AY22" s="18">
        <f>SUM(AY14:AY21)</f>
        <v>333.33333333333331</v>
      </c>
      <c r="AZ22" s="18">
        <f t="shared" ref="AZ22" si="88">SUM(AZ14:AZ21)</f>
        <v>0</v>
      </c>
      <c r="BA22" s="18">
        <f t="shared" ref="BA22:BB22" si="89">SUM(BA14:BA21)</f>
        <v>0</v>
      </c>
      <c r="BB22" s="18">
        <f t="shared" si="89"/>
        <v>0</v>
      </c>
      <c r="BC22" s="18">
        <f t="shared" ref="BC22" si="90">SUM(BC14:BC21)</f>
        <v>0</v>
      </c>
      <c r="BD22" s="18">
        <f t="shared" ref="BD22" si="91">SUM(BD14:BD21)</f>
        <v>0</v>
      </c>
      <c r="BE22" s="38">
        <f t="shared" ref="BE22:BZ22" si="92">SUM(BE14:BE21)</f>
        <v>244.44444444444443</v>
      </c>
      <c r="BF22" s="18">
        <f t="shared" si="92"/>
        <v>244.44444444444443</v>
      </c>
      <c r="BG22" s="18">
        <f t="shared" si="92"/>
        <v>244.44444444444443</v>
      </c>
      <c r="BH22" s="18">
        <f t="shared" ref="BH22:BM22" si="93">SUM(BH14:BH21)</f>
        <v>244.44444444444443</v>
      </c>
      <c r="BI22" s="18">
        <f t="shared" si="93"/>
        <v>0</v>
      </c>
      <c r="BJ22" s="18">
        <f t="shared" si="93"/>
        <v>0</v>
      </c>
      <c r="BK22" s="18">
        <f t="shared" si="93"/>
        <v>0</v>
      </c>
      <c r="BL22" s="18">
        <f t="shared" si="93"/>
        <v>0</v>
      </c>
      <c r="BM22" s="18">
        <f t="shared" si="93"/>
        <v>0</v>
      </c>
      <c r="BN22" s="18">
        <f t="shared" si="92"/>
        <v>1222.2222222222222</v>
      </c>
      <c r="BO22" s="18">
        <f t="shared" si="92"/>
        <v>244.44444444444443</v>
      </c>
      <c r="BP22" s="18">
        <f t="shared" si="92"/>
        <v>977.77777777777771</v>
      </c>
      <c r="BQ22" s="18">
        <f t="shared" si="92"/>
        <v>244.44444444444443</v>
      </c>
      <c r="BR22" s="18">
        <f t="shared" si="92"/>
        <v>1222.2222222222222</v>
      </c>
      <c r="BS22" s="18">
        <f t="shared" si="92"/>
        <v>244.44444444444443</v>
      </c>
      <c r="BT22" s="18">
        <f t="shared" si="92"/>
        <v>733.33333333333326</v>
      </c>
      <c r="BU22" s="18">
        <f t="shared" si="92"/>
        <v>208.33333333333331</v>
      </c>
      <c r="BV22" s="18">
        <f t="shared" si="92"/>
        <v>0</v>
      </c>
      <c r="BW22" s="18">
        <f t="shared" si="92"/>
        <v>0</v>
      </c>
      <c r="BX22" s="18">
        <f t="shared" ref="BX22" si="94">SUM(BX14:BX21)</f>
        <v>0</v>
      </c>
      <c r="BY22" s="18">
        <f t="shared" si="92"/>
        <v>0</v>
      </c>
      <c r="BZ22" s="18">
        <f t="shared" si="92"/>
        <v>0</v>
      </c>
      <c r="CA22" s="41">
        <f>SUM(CA14:CA21)</f>
        <v>97.777777777777771</v>
      </c>
      <c r="CB22" s="19">
        <f t="shared" ref="CB22:CV22" si="95">SUM(CB14:CB21)</f>
        <v>97.777777777777771</v>
      </c>
      <c r="CC22" s="19">
        <f t="shared" si="95"/>
        <v>97.777777777777771</v>
      </c>
      <c r="CD22" s="19">
        <f t="shared" ref="CD22:CI22" si="96">SUM(CD14:CD21)</f>
        <v>97.777777777777771</v>
      </c>
      <c r="CE22" s="19">
        <f t="shared" si="96"/>
        <v>0</v>
      </c>
      <c r="CF22" s="19">
        <f t="shared" si="96"/>
        <v>0</v>
      </c>
      <c r="CG22" s="19">
        <f t="shared" si="96"/>
        <v>0</v>
      </c>
      <c r="CH22" s="19">
        <f t="shared" si="96"/>
        <v>0</v>
      </c>
      <c r="CI22" s="19">
        <f t="shared" si="96"/>
        <v>0</v>
      </c>
      <c r="CJ22" s="19">
        <f t="shared" si="95"/>
        <v>488.88888888888886</v>
      </c>
      <c r="CK22" s="19">
        <f t="shared" si="95"/>
        <v>97.777777777777771</v>
      </c>
      <c r="CL22" s="19">
        <f t="shared" si="95"/>
        <v>391.11111111111109</v>
      </c>
      <c r="CM22" s="19">
        <f t="shared" si="95"/>
        <v>97.777777777777771</v>
      </c>
      <c r="CN22" s="19">
        <f t="shared" si="95"/>
        <v>488.88888888888886</v>
      </c>
      <c r="CO22" s="19">
        <f t="shared" si="95"/>
        <v>97.777777777777771</v>
      </c>
      <c r="CP22" s="19">
        <f t="shared" si="95"/>
        <v>293.33333333333331</v>
      </c>
      <c r="CQ22" s="19">
        <f t="shared" si="95"/>
        <v>83.333333333333329</v>
      </c>
      <c r="CR22" s="19">
        <f t="shared" si="95"/>
        <v>0</v>
      </c>
      <c r="CS22" s="19">
        <f t="shared" si="95"/>
        <v>0</v>
      </c>
      <c r="CT22" s="19">
        <f t="shared" ref="CT22" si="97">SUM(CT14:CT21)</f>
        <v>0</v>
      </c>
      <c r="CU22" s="19">
        <f t="shared" si="95"/>
        <v>0</v>
      </c>
      <c r="CV22" s="19">
        <f t="shared" si="95"/>
        <v>0</v>
      </c>
      <c r="CW22" s="41">
        <f>SUM(CW14:CW21)</f>
        <v>19.555555555555554</v>
      </c>
      <c r="CX22" s="19">
        <f t="shared" ref="CX22:DR22" si="98">SUM(CX14:CX21)</f>
        <v>19.555555555555554</v>
      </c>
      <c r="CY22" s="19">
        <f t="shared" si="98"/>
        <v>19.555555555555554</v>
      </c>
      <c r="CZ22" s="19">
        <f t="shared" ref="CZ22:DE22" si="99">SUM(CZ14:CZ21)</f>
        <v>19.555555555555554</v>
      </c>
      <c r="DA22" s="19">
        <f t="shared" si="99"/>
        <v>0</v>
      </c>
      <c r="DB22" s="19">
        <f t="shared" si="99"/>
        <v>0</v>
      </c>
      <c r="DC22" s="19">
        <f t="shared" si="99"/>
        <v>0</v>
      </c>
      <c r="DD22" s="19">
        <f t="shared" si="99"/>
        <v>0</v>
      </c>
      <c r="DE22" s="19">
        <f t="shared" si="99"/>
        <v>0</v>
      </c>
      <c r="DF22" s="19">
        <f t="shared" si="98"/>
        <v>97.777777777777786</v>
      </c>
      <c r="DG22" s="19">
        <f t="shared" si="98"/>
        <v>19.555555555555554</v>
      </c>
      <c r="DH22" s="19">
        <f t="shared" si="98"/>
        <v>78.222222222222214</v>
      </c>
      <c r="DI22" s="19">
        <f t="shared" si="98"/>
        <v>19.555555555555554</v>
      </c>
      <c r="DJ22" s="19">
        <f t="shared" si="98"/>
        <v>97.777777777777786</v>
      </c>
      <c r="DK22" s="19">
        <f t="shared" si="98"/>
        <v>19.555555555555554</v>
      </c>
      <c r="DL22" s="19">
        <f t="shared" si="98"/>
        <v>58.666666666666664</v>
      </c>
      <c r="DM22" s="19">
        <f t="shared" si="98"/>
        <v>16.666666666666664</v>
      </c>
      <c r="DN22" s="19">
        <f t="shared" si="98"/>
        <v>0</v>
      </c>
      <c r="DO22" s="19">
        <f t="shared" si="98"/>
        <v>0</v>
      </c>
      <c r="DP22" s="19">
        <f t="shared" ref="DP22" si="100">SUM(DP14:DP21)</f>
        <v>0</v>
      </c>
      <c r="DQ22" s="19">
        <f t="shared" si="98"/>
        <v>0</v>
      </c>
      <c r="DR22" s="42">
        <f t="shared" si="98"/>
        <v>0</v>
      </c>
    </row>
    <row r="23" spans="1:122" x14ac:dyDescent="0.25">
      <c r="B23" s="6"/>
      <c r="C23" s="15"/>
      <c r="D23" s="15"/>
      <c r="E23" s="15"/>
      <c r="F23" s="5"/>
      <c r="G23" s="15"/>
      <c r="H23" s="5"/>
      <c r="I23" s="5"/>
      <c r="J23" s="5"/>
      <c r="K23" s="5"/>
      <c r="L23" s="54"/>
      <c r="M23" s="55"/>
      <c r="N23" s="55"/>
      <c r="O23" s="55"/>
      <c r="P23" s="55"/>
      <c r="Q23" s="55"/>
      <c r="R23" s="55"/>
      <c r="S23" s="55"/>
      <c r="T23" s="55"/>
      <c r="U23" s="55"/>
      <c r="V23" s="55"/>
      <c r="W23" s="20"/>
      <c r="X23" s="20"/>
      <c r="Y23" s="20"/>
      <c r="Z23" s="20"/>
      <c r="AA23" s="20"/>
      <c r="AB23" s="20"/>
      <c r="AC23" s="20"/>
      <c r="AD23" s="20"/>
      <c r="AE23" s="20"/>
      <c r="AF23" s="20"/>
      <c r="AG23" s="20"/>
      <c r="AH23" s="495"/>
      <c r="AI23" s="40"/>
      <c r="AJ23" s="40"/>
      <c r="AK23" s="40"/>
      <c r="AL23" s="40"/>
      <c r="AM23" s="40"/>
      <c r="AN23" s="40"/>
      <c r="AO23" s="40"/>
      <c r="AP23" s="40"/>
      <c r="AQ23" s="40"/>
      <c r="AR23" s="40"/>
      <c r="AS23" s="40"/>
      <c r="AT23" s="40"/>
      <c r="AU23" s="40"/>
      <c r="AV23" s="40"/>
      <c r="AW23" s="40"/>
      <c r="AX23" s="40"/>
      <c r="AY23" s="40"/>
      <c r="AZ23" s="40"/>
      <c r="BA23" s="40"/>
      <c r="BB23" s="40"/>
      <c r="BC23" s="40"/>
      <c r="BD23" s="40"/>
      <c r="BE23" s="39"/>
      <c r="BF23" s="40"/>
      <c r="BG23" s="40"/>
      <c r="BH23" s="40"/>
      <c r="BI23" s="40"/>
      <c r="BJ23" s="40"/>
      <c r="BK23" s="40"/>
      <c r="BL23" s="40"/>
      <c r="BM23" s="40"/>
      <c r="BN23" s="40"/>
      <c r="BO23" s="40"/>
      <c r="BP23" s="40"/>
      <c r="BQ23" s="40"/>
      <c r="BR23" s="40"/>
      <c r="BS23" s="40"/>
      <c r="BT23" s="40"/>
      <c r="BU23" s="40"/>
      <c r="BV23" s="40"/>
      <c r="BW23" s="40"/>
      <c r="BX23" s="40"/>
      <c r="BY23" s="40"/>
      <c r="BZ23" s="40"/>
      <c r="CA23" s="36"/>
      <c r="CB23" s="21"/>
      <c r="CC23" s="21"/>
      <c r="CD23" s="21"/>
      <c r="CE23" s="21"/>
      <c r="CF23" s="21"/>
      <c r="CG23" s="21"/>
      <c r="CH23" s="21"/>
      <c r="CI23" s="21"/>
      <c r="CJ23" s="21"/>
      <c r="CK23" s="21"/>
      <c r="CL23" s="21"/>
      <c r="CM23" s="21"/>
      <c r="CN23" s="21"/>
      <c r="CO23" s="21"/>
      <c r="CP23" s="21"/>
      <c r="CQ23" s="21"/>
      <c r="CR23" s="21"/>
      <c r="CS23" s="21"/>
      <c r="CT23" s="21"/>
      <c r="CU23" s="21"/>
      <c r="CV23" s="21"/>
      <c r="CW23" s="36"/>
      <c r="CX23" s="21"/>
      <c r="CY23" s="21"/>
      <c r="CZ23" s="21"/>
      <c r="DA23" s="21"/>
      <c r="DB23" s="21"/>
      <c r="DC23" s="21"/>
      <c r="DD23" s="21"/>
      <c r="DE23" s="21"/>
      <c r="DF23" s="21"/>
      <c r="DG23" s="21"/>
      <c r="DH23" s="21"/>
      <c r="DI23" s="21"/>
      <c r="DJ23" s="21"/>
      <c r="DR23" s="505"/>
    </row>
    <row r="24" spans="1:122" x14ac:dyDescent="0.25">
      <c r="B24" s="6"/>
      <c r="C24" s="15"/>
      <c r="D24" s="15"/>
      <c r="E24" s="15"/>
      <c r="F24" s="5"/>
      <c r="G24" s="15"/>
      <c r="H24" s="5"/>
      <c r="I24" s="5"/>
      <c r="J24" s="5"/>
      <c r="K24" s="5"/>
      <c r="L24" s="29"/>
      <c r="M24" s="20"/>
      <c r="N24" s="20"/>
      <c r="O24" s="20"/>
      <c r="P24" s="20"/>
      <c r="Q24" s="20"/>
      <c r="R24" s="20"/>
      <c r="S24" s="20"/>
      <c r="T24" s="20"/>
      <c r="U24" s="20"/>
      <c r="V24" s="20"/>
      <c r="W24" s="20"/>
      <c r="X24" s="20"/>
      <c r="Y24" s="20"/>
      <c r="Z24" s="20"/>
      <c r="AA24" s="20"/>
      <c r="AB24" s="20"/>
      <c r="AC24" s="20"/>
      <c r="AD24" s="20"/>
      <c r="AE24" s="20"/>
      <c r="AF24" s="20"/>
      <c r="AG24" s="20"/>
      <c r="AH24" s="496"/>
      <c r="AI24" s="40"/>
      <c r="AJ24" s="40"/>
      <c r="AK24" s="40"/>
      <c r="AL24" s="40"/>
      <c r="AM24" s="40"/>
      <c r="AN24" s="40"/>
      <c r="AO24" s="40"/>
      <c r="AP24" s="40"/>
      <c r="AQ24" s="40"/>
      <c r="AR24" s="40"/>
      <c r="AS24" s="40"/>
      <c r="AT24" s="40"/>
      <c r="AU24" s="40"/>
      <c r="AV24" s="40"/>
      <c r="AW24" s="40"/>
      <c r="AX24" s="40"/>
      <c r="AY24" s="40"/>
      <c r="AZ24" s="40"/>
      <c r="BA24" s="40"/>
      <c r="BB24" s="40"/>
      <c r="BC24" s="40"/>
      <c r="BD24" s="40"/>
      <c r="BE24" s="39"/>
      <c r="BF24" s="40"/>
      <c r="BG24" s="40"/>
      <c r="BH24" s="40"/>
      <c r="BI24" s="40"/>
      <c r="BJ24" s="40"/>
      <c r="BK24" s="40"/>
      <c r="BL24" s="40"/>
      <c r="BM24" s="40"/>
      <c r="BN24" s="40"/>
      <c r="BO24" s="40"/>
      <c r="BP24" s="40"/>
      <c r="BQ24" s="40"/>
      <c r="BR24" s="40"/>
      <c r="BS24" s="40"/>
      <c r="BT24" s="40"/>
      <c r="BU24" s="40"/>
      <c r="BV24" s="40"/>
      <c r="BW24" s="40"/>
      <c r="BX24" s="40"/>
      <c r="BY24" s="40"/>
      <c r="BZ24" s="40"/>
      <c r="CA24" s="36"/>
      <c r="CB24" s="21"/>
      <c r="CC24" s="21"/>
      <c r="CD24" s="21"/>
      <c r="CE24" s="21"/>
      <c r="CF24" s="21"/>
      <c r="CG24" s="21"/>
      <c r="CH24" s="21"/>
      <c r="CI24" s="21"/>
      <c r="CJ24" s="21"/>
      <c r="CK24" s="21"/>
      <c r="CL24" s="21"/>
      <c r="CM24" s="21"/>
      <c r="CN24" s="21"/>
      <c r="CO24" s="21"/>
      <c r="CP24" s="21"/>
      <c r="CQ24" s="21"/>
      <c r="CR24" s="21"/>
      <c r="CS24" s="21"/>
      <c r="CT24" s="21"/>
      <c r="CU24" s="21"/>
      <c r="CV24" s="21"/>
      <c r="CW24" s="36"/>
      <c r="CX24" s="21"/>
      <c r="CY24" s="21"/>
      <c r="CZ24" s="21"/>
      <c r="DA24" s="21"/>
      <c r="DB24" s="21"/>
      <c r="DC24" s="21"/>
      <c r="DD24" s="21"/>
      <c r="DE24" s="21"/>
      <c r="DF24" s="21"/>
      <c r="DG24" s="21"/>
      <c r="DH24" s="21"/>
      <c r="DI24" s="21"/>
      <c r="DJ24" s="21"/>
      <c r="DR24" s="27"/>
    </row>
    <row r="25" spans="1:122" x14ac:dyDescent="0.25">
      <c r="C25" s="15"/>
      <c r="D25" s="15"/>
      <c r="E25" s="15"/>
      <c r="F25" s="5"/>
      <c r="G25" s="15"/>
      <c r="H25" s="5"/>
      <c r="I25" s="5"/>
      <c r="J25" s="5"/>
      <c r="K25" s="5"/>
      <c r="L25" s="29"/>
      <c r="M25" s="20"/>
      <c r="N25" s="20"/>
      <c r="O25" s="20"/>
      <c r="P25" s="20"/>
      <c r="Q25" s="20"/>
      <c r="R25" s="20"/>
      <c r="S25" s="20"/>
      <c r="T25" s="20"/>
      <c r="U25" s="20"/>
      <c r="V25" s="20"/>
      <c r="W25" s="20"/>
      <c r="X25" s="20"/>
      <c r="Y25" s="20"/>
      <c r="Z25" s="20"/>
      <c r="AA25" s="20"/>
      <c r="AB25" s="20"/>
      <c r="AC25" s="20"/>
      <c r="AD25" s="20"/>
      <c r="AE25" s="20"/>
      <c r="AF25" s="20"/>
      <c r="AG25" s="20"/>
      <c r="AH25" s="496"/>
      <c r="AI25" s="40"/>
      <c r="AJ25" s="40"/>
      <c r="AK25" s="40"/>
      <c r="AL25" s="40"/>
      <c r="AM25" s="40"/>
      <c r="AN25" s="40"/>
      <c r="AO25" s="40"/>
      <c r="AP25" s="40"/>
      <c r="AQ25" s="40"/>
      <c r="AR25" s="40"/>
      <c r="AS25" s="40"/>
      <c r="AT25" s="40"/>
      <c r="AU25" s="40"/>
      <c r="AV25" s="40"/>
      <c r="AW25" s="40"/>
      <c r="AX25" s="40"/>
      <c r="AY25" s="40"/>
      <c r="AZ25" s="40"/>
      <c r="BA25" s="40"/>
      <c r="BB25" s="40"/>
      <c r="BC25" s="40"/>
      <c r="BD25" s="40"/>
      <c r="BE25" s="39"/>
      <c r="BF25" s="40"/>
      <c r="BG25" s="40"/>
      <c r="BH25" s="40"/>
      <c r="BI25" s="40"/>
      <c r="BJ25" s="40"/>
      <c r="BK25" s="40"/>
      <c r="BL25" s="40"/>
      <c r="BM25" s="40"/>
      <c r="BN25" s="40"/>
      <c r="BO25" s="40"/>
      <c r="BP25" s="40"/>
      <c r="BQ25" s="40"/>
      <c r="BR25" s="40"/>
      <c r="BS25" s="40"/>
      <c r="BT25" s="40"/>
      <c r="BU25" s="40"/>
      <c r="BV25" s="40"/>
      <c r="BW25" s="40"/>
      <c r="BX25" s="40"/>
      <c r="BY25" s="40"/>
      <c r="BZ25" s="40"/>
      <c r="CA25" s="36"/>
      <c r="CB25" s="21"/>
      <c r="CC25" s="21"/>
      <c r="CD25" s="21"/>
      <c r="CE25" s="21"/>
      <c r="CF25" s="21"/>
      <c r="CG25" s="21"/>
      <c r="CH25" s="21"/>
      <c r="CI25" s="21"/>
      <c r="CJ25" s="21"/>
      <c r="CK25" s="21"/>
      <c r="CL25" s="21"/>
      <c r="CM25" s="21"/>
      <c r="CN25" s="21"/>
      <c r="CO25" s="21"/>
      <c r="CP25" s="21"/>
      <c r="CQ25" s="21"/>
      <c r="CR25" s="21"/>
      <c r="CS25" s="21"/>
      <c r="CT25" s="21"/>
      <c r="CU25" s="21"/>
      <c r="CV25" s="21"/>
      <c r="CW25" s="36"/>
      <c r="CX25" s="21"/>
      <c r="CY25" s="21"/>
      <c r="CZ25" s="21"/>
      <c r="DA25" s="21"/>
      <c r="DB25" s="21"/>
      <c r="DC25" s="21"/>
      <c r="DD25" s="21"/>
      <c r="DE25" s="21"/>
      <c r="DF25" s="21"/>
      <c r="DG25" s="21"/>
      <c r="DH25" s="21"/>
      <c r="DI25" s="21"/>
      <c r="DJ25" s="21"/>
      <c r="DR25" s="27"/>
    </row>
    <row r="26" spans="1:122" x14ac:dyDescent="0.25">
      <c r="L26" s="28"/>
      <c r="M26" s="13"/>
      <c r="N26" s="13"/>
      <c r="O26" s="13"/>
      <c r="P26" s="13"/>
      <c r="Q26" s="13"/>
      <c r="R26" s="13"/>
      <c r="S26" s="13"/>
      <c r="T26" s="13"/>
      <c r="U26" s="13"/>
      <c r="V26" s="13"/>
      <c r="W26" s="13"/>
      <c r="X26" s="13"/>
      <c r="Y26" s="13"/>
      <c r="Z26" s="13"/>
      <c r="AA26" s="13"/>
      <c r="AB26" s="13"/>
      <c r="AC26" s="13"/>
      <c r="AD26" s="13"/>
      <c r="AE26" s="13"/>
      <c r="AF26" s="13"/>
      <c r="AG26" s="13"/>
      <c r="AH26" s="496"/>
      <c r="AI26" s="21"/>
      <c r="AJ26" s="21"/>
      <c r="AK26" s="21"/>
      <c r="AL26" s="21"/>
      <c r="AM26" s="21"/>
      <c r="AN26" s="21"/>
      <c r="AO26" s="21"/>
      <c r="AP26" s="21"/>
      <c r="AQ26" s="21"/>
      <c r="AR26" s="21"/>
      <c r="AS26" s="21"/>
      <c r="AT26" s="21"/>
      <c r="AU26" s="21"/>
      <c r="AV26" s="21"/>
      <c r="AW26" s="21"/>
      <c r="AX26" s="21"/>
      <c r="AY26" s="21"/>
      <c r="AZ26" s="21"/>
      <c r="BA26" s="21"/>
      <c r="BB26" s="21"/>
      <c r="BC26" s="21"/>
      <c r="BD26" s="21"/>
      <c r="BE26" s="36"/>
      <c r="BF26" s="21"/>
      <c r="BG26" s="21"/>
      <c r="BH26" s="21"/>
      <c r="BI26" s="21"/>
      <c r="BJ26" s="21"/>
      <c r="BK26" s="21"/>
      <c r="BL26" s="21"/>
      <c r="BM26" s="21"/>
      <c r="BN26" s="21"/>
      <c r="BO26" s="21"/>
      <c r="BP26" s="21"/>
      <c r="BQ26" s="21"/>
      <c r="BR26" s="21"/>
      <c r="BS26" s="21"/>
      <c r="BT26" s="21"/>
      <c r="BU26" s="21"/>
      <c r="BV26" s="21"/>
      <c r="BW26" s="21"/>
      <c r="BX26" s="21"/>
      <c r="BY26" s="21"/>
      <c r="BZ26" s="21"/>
      <c r="CA26" s="36"/>
      <c r="CB26" s="21"/>
      <c r="CC26" s="21"/>
      <c r="CD26" s="21"/>
      <c r="CE26" s="21"/>
      <c r="CF26" s="21"/>
      <c r="CG26" s="21"/>
      <c r="CH26" s="21"/>
      <c r="CI26" s="21"/>
      <c r="CJ26" s="21"/>
      <c r="CK26" s="21"/>
      <c r="CL26" s="21"/>
      <c r="CM26" s="21"/>
      <c r="CN26" s="21"/>
      <c r="CO26" s="21"/>
      <c r="CP26" s="21"/>
      <c r="CQ26" s="21"/>
      <c r="CR26" s="21"/>
      <c r="CS26" s="21"/>
      <c r="CT26" s="21"/>
      <c r="CU26" s="21"/>
      <c r="CV26" s="21"/>
      <c r="CW26" s="36"/>
      <c r="CX26" s="21"/>
      <c r="CY26" s="21"/>
      <c r="CZ26" s="21"/>
      <c r="DA26" s="21"/>
      <c r="DB26" s="21"/>
      <c r="DC26" s="21"/>
      <c r="DD26" s="21"/>
      <c r="DE26" s="21"/>
      <c r="DF26" s="21"/>
      <c r="DG26" s="21"/>
      <c r="DH26" s="21"/>
      <c r="DI26" s="21"/>
      <c r="DJ26" s="21"/>
      <c r="DR26" s="27"/>
    </row>
    <row r="27" spans="1:122" ht="13.8" thickBot="1" x14ac:dyDescent="0.3">
      <c r="A27" s="4" t="s">
        <v>150</v>
      </c>
      <c r="C27" s="513"/>
      <c r="H27" s="509"/>
      <c r="J27" s="509"/>
      <c r="K27" s="510"/>
      <c r="L27" s="28"/>
      <c r="M27" s="13"/>
      <c r="N27" s="13"/>
      <c r="O27" s="13"/>
      <c r="P27" s="13"/>
      <c r="Q27" s="13"/>
      <c r="R27" s="13"/>
      <c r="S27" s="13"/>
      <c r="T27" s="13"/>
      <c r="U27" s="13"/>
      <c r="V27" s="13"/>
      <c r="W27" s="13"/>
      <c r="X27" s="13"/>
      <c r="Y27" s="13"/>
      <c r="Z27" s="13"/>
      <c r="AA27" s="13"/>
      <c r="AB27" s="13"/>
      <c r="AC27" s="13"/>
      <c r="AD27" s="13"/>
      <c r="AE27" s="13"/>
      <c r="AF27" s="13"/>
      <c r="AG27" s="13"/>
      <c r="AH27" s="496"/>
      <c r="AI27" s="21"/>
      <c r="AJ27" s="21"/>
      <c r="AK27" s="21"/>
      <c r="AL27" s="21"/>
      <c r="AM27" s="21"/>
      <c r="AN27" s="21"/>
      <c r="AO27" s="21"/>
      <c r="AP27" s="21"/>
      <c r="AQ27" s="21"/>
      <c r="AR27" s="21"/>
      <c r="AS27" s="21"/>
      <c r="AT27" s="21"/>
      <c r="AU27" s="21"/>
      <c r="AV27" s="21"/>
      <c r="AW27" s="21"/>
      <c r="AX27" s="21"/>
      <c r="AY27" s="21"/>
      <c r="AZ27" s="21"/>
      <c r="BA27" s="21"/>
      <c r="BB27" s="21"/>
      <c r="BC27" s="21"/>
      <c r="BD27" s="21"/>
      <c r="BE27" s="36"/>
      <c r="BF27" s="21"/>
      <c r="BG27" s="21"/>
      <c r="BH27" s="21"/>
      <c r="BI27" s="21"/>
      <c r="BJ27" s="21"/>
      <c r="BK27" s="21"/>
      <c r="BL27" s="21"/>
      <c r="BM27" s="21"/>
      <c r="BN27" s="21"/>
      <c r="BO27" s="21"/>
      <c r="BP27" s="21"/>
      <c r="BQ27" s="21"/>
      <c r="BR27" s="21"/>
      <c r="BS27" s="21"/>
      <c r="BT27" s="21"/>
      <c r="BU27" s="21"/>
      <c r="BV27" s="21"/>
      <c r="BW27" s="21"/>
      <c r="BX27" s="21"/>
      <c r="BY27" s="21"/>
      <c r="BZ27" s="21"/>
      <c r="CA27" s="36"/>
      <c r="CB27" s="21"/>
      <c r="CC27" s="21"/>
      <c r="CD27" s="21"/>
      <c r="CE27" s="21"/>
      <c r="CF27" s="21"/>
      <c r="CG27" s="21"/>
      <c r="CH27" s="21"/>
      <c r="CI27" s="21"/>
      <c r="CJ27" s="21"/>
      <c r="CK27" s="21"/>
      <c r="CL27" s="21"/>
      <c r="CM27" s="21"/>
      <c r="CN27" s="21"/>
      <c r="CO27" s="21"/>
      <c r="CP27" s="21"/>
      <c r="CQ27" s="21"/>
      <c r="CR27" s="21"/>
      <c r="CS27" s="21"/>
      <c r="CT27" s="21"/>
      <c r="CU27" s="21"/>
      <c r="CV27" s="21"/>
      <c r="CW27" s="36"/>
      <c r="CX27" s="21"/>
      <c r="CY27" s="21"/>
      <c r="CZ27" s="21"/>
      <c r="DA27" s="21"/>
      <c r="DB27" s="21"/>
      <c r="DC27" s="21"/>
      <c r="DD27" s="21"/>
      <c r="DE27" s="21"/>
      <c r="DF27" s="21"/>
      <c r="DG27" s="21"/>
      <c r="DH27" s="21"/>
      <c r="DI27" s="21"/>
      <c r="DJ27" s="21"/>
      <c r="DR27" s="27"/>
    </row>
    <row r="28" spans="1:122" ht="13.8" thickBot="1" x14ac:dyDescent="0.3">
      <c r="A28" s="4"/>
      <c r="B28" s="49" t="str">
        <f>'Gårdens info'!C77</f>
        <v>traktor 60 hv</v>
      </c>
      <c r="C28" s="360"/>
      <c r="D28" s="514"/>
      <c r="E28" s="360">
        <f>'Gårdens info'!J77</f>
        <v>1980</v>
      </c>
      <c r="F28" s="5"/>
      <c r="G28" s="15"/>
      <c r="H28" s="506">
        <v>15</v>
      </c>
      <c r="I28">
        <f>'Gårdens info'!D77</f>
        <v>35000</v>
      </c>
      <c r="J28" s="506">
        <f>C28*0.1</f>
        <v>0</v>
      </c>
      <c r="K28" s="507">
        <v>0.03</v>
      </c>
      <c r="L28" s="498">
        <f>'Gårdens info'!$D$10/('Gårdens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M28" s="498">
        <f>'Gårdens info'!$D$11/('Gårdens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N28" s="498">
        <f>'Gårdens info'!$D$12/('Gårdens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O28" s="498">
        <f>'Gårdens info'!$D$13/('Gårdens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P28" s="498">
        <f>'Gårdens info'!$D$14/('Gårdens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Q28" s="498">
        <f>'Gårdens info'!$D$15/('Gårdens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R28" s="498">
        <f>'Gårdens info'!$D$16/('Gårdens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S28" s="498">
        <f>'Gårdens info'!$D$17/('Gårdens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T28" s="498">
        <f>'Gårdens info'!$D$18/('Gårdens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U28" s="498">
        <f>'Gårdens info'!$D$22/('Gårdens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0.18518518518518517</v>
      </c>
      <c r="V28" s="498">
        <f>'Gårdens info'!$D$23/('Gårdens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W28" s="498">
        <f>'Gårdens info'!$D$24/('Gårdens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0.14814814814814814</v>
      </c>
      <c r="X28" s="498">
        <f>'Gårdens info'!$D$25/('Gårdens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Y28" s="498">
        <f>'Gårdens info'!$D$26/('Gårdens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0.18518518518518517</v>
      </c>
      <c r="Z28" s="498">
        <f>'Gårdens info'!$D$27/('Gårdens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AA28" s="498">
        <f>'Gårdens info'!$D$28/('Gårdens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0.1111111111111111</v>
      </c>
      <c r="AB28" s="498">
        <f>'Gårdens info'!$D$31/('Gårdens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0.1111111111111111</v>
      </c>
      <c r="AC28" s="498">
        <f>'Gårdens info'!$D$32/('Gårdens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AD28" s="498">
        <f>'Gårdens info'!$D$33/('Gårdens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AE28" s="498">
        <f>'Gårdens info'!$D$34/('Gårdens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AF28" s="498">
        <f>'Gårdens info'!$D$35/('Gårdens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AG28" s="498">
        <f>'Gårdens info'!$D$36/('Gårdens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AH28" s="500">
        <f>+SUM(L28:AG28)</f>
        <v>1</v>
      </c>
      <c r="AI28" s="21">
        <f>IF((($C$7-$E28)&lt;=$H28),(($I28-$J28)/$H28*L28),0)</f>
        <v>0</v>
      </c>
      <c r="AJ28" s="21">
        <f>IF((($C$7-$E28)&lt;=$H28),(($I28-$J28)/$H28*M28),0)</f>
        <v>0</v>
      </c>
      <c r="AK28" s="21">
        <f>IF((($C$7-$E28)&lt;=$H28),(($I28-$J28)/$H28*N28),0)</f>
        <v>0</v>
      </c>
      <c r="AL28" s="21">
        <f>IF((($C$7-$E28)&lt;=$H28),(($I28-$J28)/$H28*O28),0)</f>
        <v>0</v>
      </c>
      <c r="AM28" s="21">
        <f t="shared" ref="AM28:AQ43" si="101">IF((($C$7-$E28)&lt;=$H28),(($I28-$J28)/$H28*P28),0)</f>
        <v>0</v>
      </c>
      <c r="AN28" s="21">
        <f t="shared" si="101"/>
        <v>0</v>
      </c>
      <c r="AO28" s="21">
        <f t="shared" si="101"/>
        <v>0</v>
      </c>
      <c r="AP28" s="21">
        <f t="shared" si="101"/>
        <v>0</v>
      </c>
      <c r="AQ28" s="21">
        <f t="shared" si="101"/>
        <v>0</v>
      </c>
      <c r="AR28" s="21">
        <f t="shared" ref="AR28:BD28" si="102">IF((($C$7-$E28)&lt;=$H28),(($I28-$J28)/$H28*U28),0)</f>
        <v>0</v>
      </c>
      <c r="AS28" s="21">
        <f t="shared" si="102"/>
        <v>0</v>
      </c>
      <c r="AT28" s="21">
        <f t="shared" si="102"/>
        <v>0</v>
      </c>
      <c r="AU28" s="21">
        <f t="shared" si="102"/>
        <v>0</v>
      </c>
      <c r="AV28" s="21">
        <f t="shared" si="102"/>
        <v>0</v>
      </c>
      <c r="AW28" s="21">
        <f t="shared" si="102"/>
        <v>0</v>
      </c>
      <c r="AX28" s="21">
        <f t="shared" si="102"/>
        <v>0</v>
      </c>
      <c r="AY28" s="21">
        <f t="shared" si="102"/>
        <v>0</v>
      </c>
      <c r="AZ28" s="21">
        <f t="shared" si="102"/>
        <v>0</v>
      </c>
      <c r="BA28" s="21">
        <f t="shared" si="102"/>
        <v>0</v>
      </c>
      <c r="BB28" s="21">
        <f t="shared" si="102"/>
        <v>0</v>
      </c>
      <c r="BC28" s="21">
        <f t="shared" si="102"/>
        <v>0</v>
      </c>
      <c r="BD28" s="21">
        <f t="shared" si="102"/>
        <v>0</v>
      </c>
      <c r="BE28" s="36">
        <f>IF(($C$7-$E28&lt;=$H28),(($I28+$J28)/2*$C$8*L28),0)</f>
        <v>0</v>
      </c>
      <c r="BF28" s="21">
        <f>IF(($C$7-$E28&lt;=$H28),(($I28+$J28)/2*$C$8*M28),0)</f>
        <v>0</v>
      </c>
      <c r="BG28" s="21">
        <f>IF(($C$7-$E28&lt;=$H28),(($I28+$J28)/2*$C$8*N28),0)</f>
        <v>0</v>
      </c>
      <c r="BH28" s="21">
        <f>IF(($C$7-$E28&lt;=$H28),(($I28+$J28)/2*$C$8*O28),0)</f>
        <v>0</v>
      </c>
      <c r="BI28" s="21">
        <f t="shared" ref="BI28:BM43" si="103">IF(($C$7-$E28&lt;=$H28),(($I28+$J28)/2*$C$8*P28),0)</f>
        <v>0</v>
      </c>
      <c r="BJ28" s="21">
        <f t="shared" si="103"/>
        <v>0</v>
      </c>
      <c r="BK28" s="21">
        <f t="shared" si="103"/>
        <v>0</v>
      </c>
      <c r="BL28" s="21">
        <f t="shared" si="103"/>
        <v>0</v>
      </c>
      <c r="BM28" s="21">
        <f t="shared" si="103"/>
        <v>0</v>
      </c>
      <c r="BN28" s="21">
        <f t="shared" ref="BN28:BZ28" si="104">IF(($C$7-$E28&lt;=$H28),(($I28+$J28)/2*$C$8*U28),0)</f>
        <v>0</v>
      </c>
      <c r="BO28" s="21">
        <f t="shared" si="104"/>
        <v>0</v>
      </c>
      <c r="BP28" s="21">
        <f t="shared" si="104"/>
        <v>0</v>
      </c>
      <c r="BQ28" s="21">
        <f t="shared" si="104"/>
        <v>0</v>
      </c>
      <c r="BR28" s="21">
        <f t="shared" si="104"/>
        <v>0</v>
      </c>
      <c r="BS28" s="21">
        <f t="shared" si="104"/>
        <v>0</v>
      </c>
      <c r="BT28" s="21">
        <f t="shared" si="104"/>
        <v>0</v>
      </c>
      <c r="BU28" s="21">
        <f t="shared" si="104"/>
        <v>0</v>
      </c>
      <c r="BV28" s="21">
        <f t="shared" si="104"/>
        <v>0</v>
      </c>
      <c r="BW28" s="21">
        <f t="shared" si="104"/>
        <v>0</v>
      </c>
      <c r="BX28" s="21">
        <f t="shared" si="104"/>
        <v>0</v>
      </c>
      <c r="BY28" s="21">
        <f t="shared" si="104"/>
        <v>0</v>
      </c>
      <c r="BZ28" s="21">
        <f t="shared" si="104"/>
        <v>0</v>
      </c>
      <c r="CA28" s="36">
        <f>$I28*$K28*L28</f>
        <v>38.888888888888886</v>
      </c>
      <c r="CB28" s="21">
        <f>$I28*$K28*M28</f>
        <v>38.888888888888886</v>
      </c>
      <c r="CC28" s="21">
        <f>$I28*$K28*N28</f>
        <v>38.888888888888886</v>
      </c>
      <c r="CD28" s="21">
        <f>$I28*$K28*O28</f>
        <v>38.888888888888886</v>
      </c>
      <c r="CE28" s="21">
        <f t="shared" ref="CE28:CI43" si="105">$I28*$K28*P28</f>
        <v>0</v>
      </c>
      <c r="CF28" s="21">
        <f t="shared" si="105"/>
        <v>0</v>
      </c>
      <c r="CG28" s="21">
        <f t="shared" si="105"/>
        <v>0</v>
      </c>
      <c r="CH28" s="21">
        <f t="shared" si="105"/>
        <v>0</v>
      </c>
      <c r="CI28" s="21">
        <f t="shared" si="105"/>
        <v>0</v>
      </c>
      <c r="CJ28" s="21">
        <f t="shared" ref="CJ28:CV28" si="106">$I28*$K28*U28</f>
        <v>194.44444444444443</v>
      </c>
      <c r="CK28" s="21">
        <f t="shared" si="106"/>
        <v>38.888888888888886</v>
      </c>
      <c r="CL28" s="21">
        <f t="shared" si="106"/>
        <v>155.55555555555554</v>
      </c>
      <c r="CM28" s="21">
        <f t="shared" si="106"/>
        <v>38.888888888888886</v>
      </c>
      <c r="CN28" s="21">
        <f t="shared" si="106"/>
        <v>194.44444444444443</v>
      </c>
      <c r="CO28" s="21">
        <f t="shared" si="106"/>
        <v>38.888888888888886</v>
      </c>
      <c r="CP28" s="21">
        <f t="shared" si="106"/>
        <v>116.66666666666666</v>
      </c>
      <c r="CQ28" s="21">
        <f t="shared" si="106"/>
        <v>116.66666666666666</v>
      </c>
      <c r="CR28" s="21">
        <f t="shared" si="106"/>
        <v>0</v>
      </c>
      <c r="CS28" s="21">
        <f t="shared" si="106"/>
        <v>0</v>
      </c>
      <c r="CT28" s="21">
        <f t="shared" si="106"/>
        <v>0</v>
      </c>
      <c r="CU28" s="21">
        <f t="shared" si="106"/>
        <v>0</v>
      </c>
      <c r="CV28" s="21">
        <f t="shared" si="106"/>
        <v>0</v>
      </c>
      <c r="CW28" s="36">
        <f>$I28*$C$9*L28</f>
        <v>2.5925925925925926</v>
      </c>
      <c r="CX28" s="21">
        <f>$I28*$C$9*M28</f>
        <v>2.5925925925925926</v>
      </c>
      <c r="CY28" s="21">
        <f>$I28*$C$9*N28</f>
        <v>2.5925925925925926</v>
      </c>
      <c r="CZ28" s="21">
        <f>$I28*$C$9*O28</f>
        <v>2.5925925925925926</v>
      </c>
      <c r="DA28" s="21">
        <f t="shared" ref="DA28:DE43" si="107">$I28*$C$9*P28</f>
        <v>0</v>
      </c>
      <c r="DB28" s="21">
        <f t="shared" si="107"/>
        <v>0</v>
      </c>
      <c r="DC28" s="21">
        <f t="shared" si="107"/>
        <v>0</v>
      </c>
      <c r="DD28" s="21">
        <f t="shared" si="107"/>
        <v>0</v>
      </c>
      <c r="DE28" s="21">
        <f t="shared" si="107"/>
        <v>0</v>
      </c>
      <c r="DF28" s="21">
        <f t="shared" ref="DF28:DR28" si="108">$I28*$C$9*U28</f>
        <v>12.962962962962962</v>
      </c>
      <c r="DG28" s="21">
        <f t="shared" si="108"/>
        <v>2.5925925925925926</v>
      </c>
      <c r="DH28" s="21">
        <f t="shared" si="108"/>
        <v>10.37037037037037</v>
      </c>
      <c r="DI28" s="21">
        <f t="shared" si="108"/>
        <v>2.5925925925925926</v>
      </c>
      <c r="DJ28" s="21">
        <f t="shared" si="108"/>
        <v>12.962962962962962</v>
      </c>
      <c r="DK28" s="21">
        <f t="shared" si="108"/>
        <v>2.5925925925925926</v>
      </c>
      <c r="DL28" s="21">
        <f t="shared" si="108"/>
        <v>7.7777777777777777</v>
      </c>
      <c r="DM28" s="21">
        <f t="shared" si="108"/>
        <v>7.7777777777777777</v>
      </c>
      <c r="DN28" s="21">
        <f t="shared" si="108"/>
        <v>0</v>
      </c>
      <c r="DO28" s="21">
        <f t="shared" si="108"/>
        <v>0</v>
      </c>
      <c r="DP28" s="21">
        <f t="shared" si="108"/>
        <v>0</v>
      </c>
      <c r="DQ28" s="21">
        <f t="shared" si="108"/>
        <v>0</v>
      </c>
      <c r="DR28" s="37">
        <f t="shared" si="108"/>
        <v>0</v>
      </c>
    </row>
    <row r="29" spans="1:122" ht="13.8" thickBot="1" x14ac:dyDescent="0.3">
      <c r="B29" s="49" t="str">
        <f>'Gårdens info'!C78</f>
        <v>traktor 100 hv</v>
      </c>
      <c r="C29" s="360"/>
      <c r="D29" s="514"/>
      <c r="E29" s="360">
        <f>'Gårdens info'!J78</f>
        <v>2014</v>
      </c>
      <c r="F29" s="5"/>
      <c r="G29" s="15"/>
      <c r="H29" s="506">
        <v>15</v>
      </c>
      <c r="I29">
        <f>'Gårdens info'!D78</f>
        <v>45000</v>
      </c>
      <c r="J29" s="506">
        <f t="shared" ref="J29:J50" si="109">C29*0.1</f>
        <v>0</v>
      </c>
      <c r="K29" s="507">
        <v>0.03</v>
      </c>
      <c r="L29" s="498">
        <f>'Gårdens info'!$D$10/('Gårdens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M29" s="498">
        <f>'Gårdens info'!$D$11/('Gårdens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N29" s="498">
        <f>'Gårdens info'!$D$12/('Gårdens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O29" s="498">
        <f>'Gårdens info'!$D$13/('Gårdens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P29" s="498">
        <f>'Gårdens info'!$D$14/('Gårdens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Q29" s="498">
        <f>'Gårdens info'!$D$15/('Gårdens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R29" s="498">
        <f>'Gårdens info'!$D$16/('Gårdens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S29" s="498">
        <f>'Gårdens info'!$D$17/('Gårdens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T29" s="498">
        <f>'Gårdens info'!$D$18/('Gårdens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U29" s="498">
        <f>'Gårdens info'!$D$22/('Gårdens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0.18518518518518517</v>
      </c>
      <c r="V29" s="498">
        <f>'Gårdens info'!$D$23/('Gårdens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W29" s="498">
        <f>'Gårdens info'!$D$24/('Gårdens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0.14814814814814814</v>
      </c>
      <c r="X29" s="498">
        <f>'Gårdens info'!$D$25/('Gårdens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Y29" s="498">
        <f>'Gårdens info'!$D$26/('Gårdens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0.18518518518518517</v>
      </c>
      <c r="Z29" s="498">
        <f>'Gårdens info'!$D$27/('Gårdens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AA29" s="498">
        <f>'Gårdens info'!$D$28/('Gårdens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0.1111111111111111</v>
      </c>
      <c r="AB29" s="498">
        <f>'Gårdens info'!$D$31/('Gårdens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0.1111111111111111</v>
      </c>
      <c r="AC29" s="498">
        <f>'Gårdens info'!$D$32/('Gårdens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AD29" s="498">
        <f>'Gårdens info'!$D$33/('Gårdens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AE29" s="498">
        <f>'Gårdens info'!$D$34/('Gårdens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AF29" s="498">
        <f>'Gårdens info'!$D$35/('Gårdens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AG29" s="498">
        <f>'Gårdens info'!$D$36/('Gårdens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AH29" s="500">
        <f t="shared" ref="AH29:AH50" si="110">+SUM(L29:AG29)</f>
        <v>1</v>
      </c>
      <c r="AI29" s="21">
        <f t="shared" ref="AI29:AI50" si="111">IF((($C$7-$E29)&lt;=$H29),(($I29-$J29)/$H29*L29),0)</f>
        <v>111.1111111111111</v>
      </c>
      <c r="AJ29" s="21">
        <f t="shared" ref="AJ29:AJ50" si="112">IF((($C$7-$E29)&lt;=$H29),(($I29-$J29)/$H29*M29),0)</f>
        <v>111.1111111111111</v>
      </c>
      <c r="AK29" s="21">
        <f t="shared" ref="AK29:AK50" si="113">IF((($C$7-$E29)&lt;=$H29),(($I29-$J29)/$H29*N29),0)</f>
        <v>111.1111111111111</v>
      </c>
      <c r="AL29" s="21">
        <f t="shared" ref="AL29:AL50" si="114">IF((($C$7-$E29)&lt;=$H29),(($I29-$J29)/$H29*O29),0)</f>
        <v>111.1111111111111</v>
      </c>
      <c r="AM29" s="21">
        <f t="shared" si="101"/>
        <v>0</v>
      </c>
      <c r="AN29" s="21">
        <f t="shared" si="101"/>
        <v>0</v>
      </c>
      <c r="AO29" s="21">
        <f t="shared" si="101"/>
        <v>0</v>
      </c>
      <c r="AP29" s="21">
        <f t="shared" si="101"/>
        <v>0</v>
      </c>
      <c r="AQ29" s="21">
        <f t="shared" si="101"/>
        <v>0</v>
      </c>
      <c r="AR29" s="21">
        <f t="shared" ref="AR29:AR50" si="115">IF((($C$7-$E29)&lt;=$H29),(($I29-$J29)/$H29*U29),0)</f>
        <v>555.55555555555554</v>
      </c>
      <c r="AS29" s="21">
        <f t="shared" ref="AS29:AS50" si="116">IF((($C$7-$E29)&lt;=$H29),(($I29-$J29)/$H29*V29),0)</f>
        <v>111.1111111111111</v>
      </c>
      <c r="AT29" s="21">
        <f t="shared" ref="AT29:AT50" si="117">IF((($C$7-$E29)&lt;=$H29),(($I29-$J29)/$H29*W29),0)</f>
        <v>444.4444444444444</v>
      </c>
      <c r="AU29" s="21">
        <f t="shared" ref="AU29:AU50" si="118">IF((($C$7-$E29)&lt;=$H29),(($I29-$J29)/$H29*X29),0)</f>
        <v>111.1111111111111</v>
      </c>
      <c r="AV29" s="21">
        <f t="shared" ref="AV29:AV50" si="119">IF((($C$7-$E29)&lt;=$H29),(($I29-$J29)/$H29*Y29),0)</f>
        <v>555.55555555555554</v>
      </c>
      <c r="AW29" s="21">
        <f t="shared" ref="AW29:AW50" si="120">IF((($C$7-$E29)&lt;=$H29),(($I29-$J29)/$H29*Z29),0)</f>
        <v>111.1111111111111</v>
      </c>
      <c r="AX29" s="21">
        <f t="shared" ref="AX29:AX50" si="121">IF((($C$7-$E29)&lt;=$H29),(($I29-$J29)/$H29*AA29),0)</f>
        <v>333.33333333333331</v>
      </c>
      <c r="AY29" s="21">
        <f t="shared" ref="AY29:AY50" si="122">IF((($C$7-$E29)&lt;=$H29),(($I29-$J29)/$H29*AB29),0)</f>
        <v>333.33333333333331</v>
      </c>
      <c r="AZ29" s="21">
        <f t="shared" ref="AZ29:AZ50" si="123">IF((($C$7-$E29)&lt;=$H29),(($I29-$J29)/$H29*AC29),0)</f>
        <v>0</v>
      </c>
      <c r="BA29" s="21">
        <f t="shared" ref="BA29:BA50" si="124">IF((($C$7-$E29)&lt;=$H29),(($I29-$J29)/$H29*AD29),0)</f>
        <v>0</v>
      </c>
      <c r="BB29" s="21">
        <f t="shared" ref="BB29:BB50" si="125">IF((($C$7-$E29)&lt;=$H29),(($I29-$J29)/$H29*AE29),0)</f>
        <v>0</v>
      </c>
      <c r="BC29" s="21">
        <f t="shared" ref="BC29:BC50" si="126">IF((($C$7-$E29)&lt;=$H29),(($I29-$J29)/$H29*AF29),0)</f>
        <v>0</v>
      </c>
      <c r="BD29" s="21">
        <f t="shared" ref="BD29:BD50" si="127">IF((($C$7-$E29)&lt;=$H29),(($I29-$J29)/$H29*AG29),0)</f>
        <v>0</v>
      </c>
      <c r="BE29" s="36">
        <f t="shared" ref="BE29:BE50" si="128">IF(($C$7-$E29&lt;=$H29),(($I29+$J29)/2*$C$8*L29),0)</f>
        <v>41.666666666666664</v>
      </c>
      <c r="BF29" s="21">
        <f t="shared" ref="BF29:BF50" si="129">IF(($C$7-$E29&lt;=$H29),(($I29+$J29)/2*$C$8*M29),0)</f>
        <v>41.666666666666664</v>
      </c>
      <c r="BG29" s="21">
        <f t="shared" ref="BG29:BG50" si="130">IF(($C$7-$E29&lt;=$H29),(($I29+$J29)/2*$C$8*N29),0)</f>
        <v>41.666666666666664</v>
      </c>
      <c r="BH29" s="21">
        <f t="shared" ref="BH29:BH50" si="131">IF(($C$7-$E29&lt;=$H29),(($I29+$J29)/2*$C$8*O29),0)</f>
        <v>41.666666666666664</v>
      </c>
      <c r="BI29" s="21">
        <f t="shared" si="103"/>
        <v>0</v>
      </c>
      <c r="BJ29" s="21">
        <f t="shared" si="103"/>
        <v>0</v>
      </c>
      <c r="BK29" s="21">
        <f t="shared" si="103"/>
        <v>0</v>
      </c>
      <c r="BL29" s="21">
        <f t="shared" si="103"/>
        <v>0</v>
      </c>
      <c r="BM29" s="21">
        <f t="shared" si="103"/>
        <v>0</v>
      </c>
      <c r="BN29" s="21">
        <f t="shared" ref="BN29:BN50" si="132">IF(($C$7-$E29&lt;=$H29),(($I29+$J29)/2*$C$8*U29),0)</f>
        <v>208.33333333333331</v>
      </c>
      <c r="BO29" s="21">
        <f t="shared" ref="BO29:BO50" si="133">IF(($C$7-$E29&lt;=$H29),(($I29+$J29)/2*$C$8*V29),0)</f>
        <v>41.666666666666664</v>
      </c>
      <c r="BP29" s="21">
        <f t="shared" ref="BP29:BP50" si="134">IF(($C$7-$E29&lt;=$H29),(($I29+$J29)/2*$C$8*W29),0)</f>
        <v>166.66666666666666</v>
      </c>
      <c r="BQ29" s="21">
        <f t="shared" ref="BQ29:BQ50" si="135">IF(($C$7-$E29&lt;=$H29),(($I29+$J29)/2*$C$8*X29),0)</f>
        <v>41.666666666666664</v>
      </c>
      <c r="BR29" s="21">
        <f t="shared" ref="BR29:BR50" si="136">IF(($C$7-$E29&lt;=$H29),(($I29+$J29)/2*$C$8*Y29),0)</f>
        <v>208.33333333333331</v>
      </c>
      <c r="BS29" s="21">
        <f t="shared" ref="BS29:BS50" si="137">IF(($C$7-$E29&lt;=$H29),(($I29+$J29)/2*$C$8*Z29),0)</f>
        <v>41.666666666666664</v>
      </c>
      <c r="BT29" s="21">
        <f t="shared" ref="BT29:BT50" si="138">IF(($C$7-$E29&lt;=$H29),(($I29+$J29)/2*$C$8*AA29),0)</f>
        <v>125</v>
      </c>
      <c r="BU29" s="21">
        <f t="shared" ref="BU29:BU50" si="139">IF(($C$7-$E29&lt;=$H29),(($I29+$J29)/2*$C$8*AB29),0)</f>
        <v>125</v>
      </c>
      <c r="BV29" s="21">
        <f t="shared" ref="BV29:BV50" si="140">IF(($C$7-$E29&lt;=$H29),(($I29+$J29)/2*$C$8*AC29),0)</f>
        <v>0</v>
      </c>
      <c r="BW29" s="21">
        <f t="shared" ref="BW29:BW50" si="141">IF(($C$7-$E29&lt;=$H29),(($I29+$J29)/2*$C$8*AD29),0)</f>
        <v>0</v>
      </c>
      <c r="BX29" s="21">
        <f t="shared" ref="BX29:BX50" si="142">IF(($C$7-$E29&lt;=$H29),(($I29+$J29)/2*$C$8*AE29),0)</f>
        <v>0</v>
      </c>
      <c r="BY29" s="21">
        <f t="shared" ref="BY29:BY50" si="143">IF(($C$7-$E29&lt;=$H29),(($I29+$J29)/2*$C$8*AF29),0)</f>
        <v>0</v>
      </c>
      <c r="BZ29" s="21">
        <f t="shared" ref="BZ29:BZ50" si="144">IF(($C$7-$E29&lt;=$H29),(($I29+$J29)/2*$C$8*AG29),0)</f>
        <v>0</v>
      </c>
      <c r="CA29" s="36">
        <f t="shared" ref="CA29:CA50" si="145">$I29*$K29*L29</f>
        <v>50</v>
      </c>
      <c r="CB29" s="21">
        <f t="shared" ref="CB29:CB50" si="146">$I29*$K29*M29</f>
        <v>50</v>
      </c>
      <c r="CC29" s="21">
        <f t="shared" ref="CC29:CC50" si="147">$I29*$K29*N29</f>
        <v>50</v>
      </c>
      <c r="CD29" s="21">
        <f t="shared" ref="CD29:CD50" si="148">$I29*$K29*O29</f>
        <v>50</v>
      </c>
      <c r="CE29" s="21">
        <f t="shared" si="105"/>
        <v>0</v>
      </c>
      <c r="CF29" s="21">
        <f t="shared" si="105"/>
        <v>0</v>
      </c>
      <c r="CG29" s="21">
        <f t="shared" si="105"/>
        <v>0</v>
      </c>
      <c r="CH29" s="21">
        <f t="shared" si="105"/>
        <v>0</v>
      </c>
      <c r="CI29" s="21">
        <f t="shared" si="105"/>
        <v>0</v>
      </c>
      <c r="CJ29" s="21">
        <f t="shared" ref="CJ29:CJ50" si="149">$I29*$K29*U29</f>
        <v>250</v>
      </c>
      <c r="CK29" s="21">
        <f t="shared" ref="CK29:CK50" si="150">$I29*$K29*V29</f>
        <v>50</v>
      </c>
      <c r="CL29" s="21">
        <f t="shared" ref="CL29:CL50" si="151">$I29*$K29*W29</f>
        <v>200</v>
      </c>
      <c r="CM29" s="21">
        <f t="shared" ref="CM29:CM50" si="152">$I29*$K29*X29</f>
        <v>50</v>
      </c>
      <c r="CN29" s="21">
        <f t="shared" ref="CN29:CN50" si="153">$I29*$K29*Y29</f>
        <v>250</v>
      </c>
      <c r="CO29" s="21">
        <f t="shared" ref="CO29:CO50" si="154">$I29*$K29*Z29</f>
        <v>50</v>
      </c>
      <c r="CP29" s="21">
        <f t="shared" ref="CP29:CP50" si="155">$I29*$K29*AA29</f>
        <v>150</v>
      </c>
      <c r="CQ29" s="21">
        <f t="shared" ref="CQ29:CQ50" si="156">$I29*$K29*AB29</f>
        <v>150</v>
      </c>
      <c r="CR29" s="21">
        <f t="shared" ref="CR29:CR50" si="157">$I29*$K29*AC29</f>
        <v>0</v>
      </c>
      <c r="CS29" s="21">
        <f t="shared" ref="CS29:CS50" si="158">$I29*$K29*AD29</f>
        <v>0</v>
      </c>
      <c r="CT29" s="21">
        <f t="shared" ref="CT29:CT50" si="159">$I29*$K29*AE29</f>
        <v>0</v>
      </c>
      <c r="CU29" s="21">
        <f t="shared" ref="CU29:CU50" si="160">$I29*$K29*AF29</f>
        <v>0</v>
      </c>
      <c r="CV29" s="21">
        <f t="shared" ref="CV29:CV50" si="161">$I29*$K29*AG29</f>
        <v>0</v>
      </c>
      <c r="CW29" s="36">
        <f t="shared" ref="CW29:CW50" si="162">$I29*$C$9*L29</f>
        <v>3.333333333333333</v>
      </c>
      <c r="CX29" s="21">
        <f t="shared" ref="CX29:CX50" si="163">$I29*$C$9*M29</f>
        <v>3.333333333333333</v>
      </c>
      <c r="CY29" s="21">
        <f t="shared" ref="CY29:CY50" si="164">$I29*$C$9*N29</f>
        <v>3.333333333333333</v>
      </c>
      <c r="CZ29" s="21">
        <f t="shared" ref="CZ29:CZ50" si="165">$I29*$C$9*O29</f>
        <v>3.333333333333333</v>
      </c>
      <c r="DA29" s="21">
        <f t="shared" si="107"/>
        <v>0</v>
      </c>
      <c r="DB29" s="21">
        <f t="shared" si="107"/>
        <v>0</v>
      </c>
      <c r="DC29" s="21">
        <f t="shared" si="107"/>
        <v>0</v>
      </c>
      <c r="DD29" s="21">
        <f t="shared" si="107"/>
        <v>0</v>
      </c>
      <c r="DE29" s="21">
        <f t="shared" si="107"/>
        <v>0</v>
      </c>
      <c r="DF29" s="21">
        <f t="shared" ref="DF29:DF50" si="166">$I29*$C$9*U29</f>
        <v>16.666666666666664</v>
      </c>
      <c r="DG29" s="21">
        <f t="shared" ref="DG29:DG50" si="167">$I29*$C$9*V29</f>
        <v>3.333333333333333</v>
      </c>
      <c r="DH29" s="21">
        <f t="shared" ref="DH29:DH50" si="168">$I29*$C$9*W29</f>
        <v>13.333333333333332</v>
      </c>
      <c r="DI29" s="21">
        <f t="shared" ref="DI29:DI50" si="169">$I29*$C$9*X29</f>
        <v>3.333333333333333</v>
      </c>
      <c r="DJ29" s="21">
        <f t="shared" ref="DJ29:DJ50" si="170">$I29*$C$9*Y29</f>
        <v>16.666666666666664</v>
      </c>
      <c r="DK29" s="21">
        <f t="shared" ref="DK29:DK50" si="171">$I29*$C$9*Z29</f>
        <v>3.333333333333333</v>
      </c>
      <c r="DL29" s="21">
        <f t="shared" ref="DL29:DL50" si="172">$I29*$C$9*AA29</f>
        <v>10</v>
      </c>
      <c r="DM29" s="21">
        <f t="shared" ref="DM29:DM50" si="173">$I29*$C$9*AB29</f>
        <v>10</v>
      </c>
      <c r="DN29" s="21">
        <f t="shared" ref="DN29:DN50" si="174">$I29*$C$9*AC29</f>
        <v>0</v>
      </c>
      <c r="DO29" s="21">
        <f t="shared" ref="DO29:DO50" si="175">$I29*$C$9*AD29</f>
        <v>0</v>
      </c>
      <c r="DP29" s="21">
        <f t="shared" ref="DP29:DP50" si="176">$I29*$C$9*AE29</f>
        <v>0</v>
      </c>
      <c r="DQ29" s="21">
        <f t="shared" ref="DQ29:DQ50" si="177">$I29*$C$9*AF29</f>
        <v>0</v>
      </c>
      <c r="DR29" s="37">
        <f t="shared" ref="DR29:DR50" si="178">$I29*$C$9*AG29</f>
        <v>0</v>
      </c>
    </row>
    <row r="30" spans="1:122" ht="13.8" thickBot="1" x14ac:dyDescent="0.3">
      <c r="B30" s="49" t="str">
        <f>'Gårdens info'!C79</f>
        <v>tegplog, 3 skär</v>
      </c>
      <c r="C30" s="360"/>
      <c r="D30" s="514"/>
      <c r="E30" s="360">
        <f>'Gårdens info'!J79</f>
        <v>1990</v>
      </c>
      <c r="F30" s="5"/>
      <c r="G30" s="15"/>
      <c r="H30" s="506">
        <v>15</v>
      </c>
      <c r="I30">
        <f>'Gårdens info'!D79</f>
        <v>5000</v>
      </c>
      <c r="J30" s="506">
        <f t="shared" si="109"/>
        <v>0</v>
      </c>
      <c r="K30" s="507">
        <v>0.03</v>
      </c>
      <c r="L30" s="498">
        <f>'Gårdens info'!$D$10/('Gårdens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M30" s="498">
        <f>'Gårdens info'!$D$11/('Gårdens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N30" s="498">
        <f>'Gårdens info'!$D$12/('Gårdens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O30" s="498">
        <f>'Gårdens info'!$D$13/('Gårdens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P30" s="498">
        <f>'Gårdens info'!$D$14/('Gårdens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Q30" s="498">
        <f>'Gårdens info'!$D$15/('Gårdens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R30" s="498">
        <f>'Gårdens info'!$D$16/('Gårdens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S30" s="498">
        <f>'Gårdens info'!$D$17/('Gårdens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T30" s="498">
        <f>'Gårdens info'!$D$18/('Gårdens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U30" s="498">
        <f>'Gårdens info'!$D$22/('Gårdens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0.18518518518518517</v>
      </c>
      <c r="V30" s="498">
        <f>'Gårdens info'!$D$23/('Gårdens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W30" s="498">
        <f>'Gårdens info'!$D$24/('Gårdens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0.14814814814814814</v>
      </c>
      <c r="X30" s="498">
        <f>'Gårdens info'!$D$25/('Gårdens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Y30" s="498">
        <f>'Gårdens info'!$D$26/('Gårdens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0.18518518518518517</v>
      </c>
      <c r="Z30" s="498">
        <f>'Gårdens info'!$D$27/('Gårdens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AA30" s="498">
        <f>'Gårdens info'!$D$28/('Gårdens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0.1111111111111111</v>
      </c>
      <c r="AB30" s="498">
        <f>'Gårdens info'!$D$31/('Gårdens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0.1111111111111111</v>
      </c>
      <c r="AC30" s="498">
        <f>'Gårdens info'!$D$32/('Gårdens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AD30" s="498">
        <f>'Gårdens info'!$D$33/('Gårdens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AE30" s="498">
        <f>'Gårdens info'!$D$34/('Gårdens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AF30" s="498">
        <f>'Gårdens info'!$D$35/('Gårdens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AG30" s="498">
        <f>'Gårdens info'!$D$36/('Gårdens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AH30" s="500">
        <f t="shared" si="110"/>
        <v>1</v>
      </c>
      <c r="AI30" s="21">
        <f t="shared" si="111"/>
        <v>0</v>
      </c>
      <c r="AJ30" s="21">
        <f t="shared" si="112"/>
        <v>0</v>
      </c>
      <c r="AK30" s="21">
        <f t="shared" si="113"/>
        <v>0</v>
      </c>
      <c r="AL30" s="21">
        <f t="shared" si="114"/>
        <v>0</v>
      </c>
      <c r="AM30" s="21">
        <f t="shared" si="101"/>
        <v>0</v>
      </c>
      <c r="AN30" s="21">
        <f t="shared" si="101"/>
        <v>0</v>
      </c>
      <c r="AO30" s="21">
        <f t="shared" si="101"/>
        <v>0</v>
      </c>
      <c r="AP30" s="21">
        <f t="shared" si="101"/>
        <v>0</v>
      </c>
      <c r="AQ30" s="21">
        <f t="shared" si="101"/>
        <v>0</v>
      </c>
      <c r="AR30" s="21">
        <f t="shared" si="115"/>
        <v>0</v>
      </c>
      <c r="AS30" s="21">
        <f t="shared" si="116"/>
        <v>0</v>
      </c>
      <c r="AT30" s="21">
        <f t="shared" si="117"/>
        <v>0</v>
      </c>
      <c r="AU30" s="21">
        <f t="shared" si="118"/>
        <v>0</v>
      </c>
      <c r="AV30" s="21">
        <f t="shared" si="119"/>
        <v>0</v>
      </c>
      <c r="AW30" s="21">
        <f t="shared" si="120"/>
        <v>0</v>
      </c>
      <c r="AX30" s="21">
        <f t="shared" si="121"/>
        <v>0</v>
      </c>
      <c r="AY30" s="21">
        <f t="shared" si="122"/>
        <v>0</v>
      </c>
      <c r="AZ30" s="21">
        <f t="shared" si="123"/>
        <v>0</v>
      </c>
      <c r="BA30" s="21">
        <f t="shared" si="124"/>
        <v>0</v>
      </c>
      <c r="BB30" s="21">
        <f t="shared" si="125"/>
        <v>0</v>
      </c>
      <c r="BC30" s="21">
        <f t="shared" si="126"/>
        <v>0</v>
      </c>
      <c r="BD30" s="21">
        <f t="shared" si="127"/>
        <v>0</v>
      </c>
      <c r="BE30" s="36">
        <f t="shared" si="128"/>
        <v>0</v>
      </c>
      <c r="BF30" s="21">
        <f t="shared" si="129"/>
        <v>0</v>
      </c>
      <c r="BG30" s="21">
        <f t="shared" si="130"/>
        <v>0</v>
      </c>
      <c r="BH30" s="21">
        <f t="shared" si="131"/>
        <v>0</v>
      </c>
      <c r="BI30" s="21">
        <f t="shared" si="103"/>
        <v>0</v>
      </c>
      <c r="BJ30" s="21">
        <f t="shared" si="103"/>
        <v>0</v>
      </c>
      <c r="BK30" s="21">
        <f t="shared" si="103"/>
        <v>0</v>
      </c>
      <c r="BL30" s="21">
        <f t="shared" si="103"/>
        <v>0</v>
      </c>
      <c r="BM30" s="21">
        <f t="shared" si="103"/>
        <v>0</v>
      </c>
      <c r="BN30" s="21">
        <f t="shared" si="132"/>
        <v>0</v>
      </c>
      <c r="BO30" s="21">
        <f t="shared" si="133"/>
        <v>0</v>
      </c>
      <c r="BP30" s="21">
        <f t="shared" si="134"/>
        <v>0</v>
      </c>
      <c r="BQ30" s="21">
        <f t="shared" si="135"/>
        <v>0</v>
      </c>
      <c r="BR30" s="21">
        <f t="shared" si="136"/>
        <v>0</v>
      </c>
      <c r="BS30" s="21">
        <f t="shared" si="137"/>
        <v>0</v>
      </c>
      <c r="BT30" s="21">
        <f t="shared" si="138"/>
        <v>0</v>
      </c>
      <c r="BU30" s="21">
        <f t="shared" si="139"/>
        <v>0</v>
      </c>
      <c r="BV30" s="21">
        <f t="shared" si="140"/>
        <v>0</v>
      </c>
      <c r="BW30" s="21">
        <f t="shared" si="141"/>
        <v>0</v>
      </c>
      <c r="BX30" s="21">
        <f t="shared" si="142"/>
        <v>0</v>
      </c>
      <c r="BY30" s="21">
        <f t="shared" si="143"/>
        <v>0</v>
      </c>
      <c r="BZ30" s="21">
        <f t="shared" si="144"/>
        <v>0</v>
      </c>
      <c r="CA30" s="36">
        <f t="shared" si="145"/>
        <v>5.5555555555555554</v>
      </c>
      <c r="CB30" s="21">
        <f t="shared" si="146"/>
        <v>5.5555555555555554</v>
      </c>
      <c r="CC30" s="21">
        <f t="shared" si="147"/>
        <v>5.5555555555555554</v>
      </c>
      <c r="CD30" s="21">
        <f t="shared" si="148"/>
        <v>5.5555555555555554</v>
      </c>
      <c r="CE30" s="21">
        <f t="shared" si="105"/>
        <v>0</v>
      </c>
      <c r="CF30" s="21">
        <f t="shared" si="105"/>
        <v>0</v>
      </c>
      <c r="CG30" s="21">
        <f t="shared" si="105"/>
        <v>0</v>
      </c>
      <c r="CH30" s="21">
        <f t="shared" si="105"/>
        <v>0</v>
      </c>
      <c r="CI30" s="21">
        <f t="shared" si="105"/>
        <v>0</v>
      </c>
      <c r="CJ30" s="21">
        <f t="shared" si="149"/>
        <v>27.777777777777775</v>
      </c>
      <c r="CK30" s="21">
        <f t="shared" si="150"/>
        <v>5.5555555555555554</v>
      </c>
      <c r="CL30" s="21">
        <f t="shared" si="151"/>
        <v>22.222222222222221</v>
      </c>
      <c r="CM30" s="21">
        <f t="shared" si="152"/>
        <v>5.5555555555555554</v>
      </c>
      <c r="CN30" s="21">
        <f t="shared" si="153"/>
        <v>27.777777777777775</v>
      </c>
      <c r="CO30" s="21">
        <f t="shared" si="154"/>
        <v>5.5555555555555554</v>
      </c>
      <c r="CP30" s="21">
        <f t="shared" si="155"/>
        <v>16.666666666666664</v>
      </c>
      <c r="CQ30" s="21">
        <f t="shared" si="156"/>
        <v>16.666666666666664</v>
      </c>
      <c r="CR30" s="21">
        <f t="shared" si="157"/>
        <v>0</v>
      </c>
      <c r="CS30" s="21">
        <f t="shared" si="158"/>
        <v>0</v>
      </c>
      <c r="CT30" s="21">
        <f t="shared" si="159"/>
        <v>0</v>
      </c>
      <c r="CU30" s="21">
        <f t="shared" si="160"/>
        <v>0</v>
      </c>
      <c r="CV30" s="21">
        <f t="shared" si="161"/>
        <v>0</v>
      </c>
      <c r="CW30" s="36">
        <f t="shared" si="162"/>
        <v>0.37037037037037035</v>
      </c>
      <c r="CX30" s="21">
        <f t="shared" si="163"/>
        <v>0.37037037037037035</v>
      </c>
      <c r="CY30" s="21">
        <f t="shared" si="164"/>
        <v>0.37037037037037035</v>
      </c>
      <c r="CZ30" s="21">
        <f t="shared" si="165"/>
        <v>0.37037037037037035</v>
      </c>
      <c r="DA30" s="21">
        <f t="shared" si="107"/>
        <v>0</v>
      </c>
      <c r="DB30" s="21">
        <f t="shared" si="107"/>
        <v>0</v>
      </c>
      <c r="DC30" s="21">
        <f t="shared" si="107"/>
        <v>0</v>
      </c>
      <c r="DD30" s="21">
        <f t="shared" si="107"/>
        <v>0</v>
      </c>
      <c r="DE30" s="21">
        <f t="shared" si="107"/>
        <v>0</v>
      </c>
      <c r="DF30" s="21">
        <f t="shared" si="166"/>
        <v>1.8518518518518516</v>
      </c>
      <c r="DG30" s="21">
        <f t="shared" si="167"/>
        <v>0.37037037037037035</v>
      </c>
      <c r="DH30" s="21">
        <f t="shared" si="168"/>
        <v>1.4814814814814814</v>
      </c>
      <c r="DI30" s="21">
        <f t="shared" si="169"/>
        <v>0.37037037037037035</v>
      </c>
      <c r="DJ30" s="21">
        <f t="shared" si="170"/>
        <v>1.8518518518518516</v>
      </c>
      <c r="DK30" s="21">
        <f t="shared" si="171"/>
        <v>0.37037037037037035</v>
      </c>
      <c r="DL30" s="21">
        <f t="shared" si="172"/>
        <v>1.1111111111111112</v>
      </c>
      <c r="DM30" s="21">
        <f t="shared" si="173"/>
        <v>1.1111111111111112</v>
      </c>
      <c r="DN30" s="21">
        <f t="shared" si="174"/>
        <v>0</v>
      </c>
      <c r="DO30" s="21">
        <f t="shared" si="175"/>
        <v>0</v>
      </c>
      <c r="DP30" s="21">
        <f t="shared" si="176"/>
        <v>0</v>
      </c>
      <c r="DQ30" s="21">
        <f t="shared" si="177"/>
        <v>0</v>
      </c>
      <c r="DR30" s="37">
        <f t="shared" si="178"/>
        <v>0</v>
      </c>
    </row>
    <row r="31" spans="1:122" ht="13.8" thickBot="1" x14ac:dyDescent="0.3">
      <c r="B31" s="49" t="str">
        <f>'Gårdens info'!C80</f>
        <v>harv 3m</v>
      </c>
      <c r="C31" s="360"/>
      <c r="D31" s="515"/>
      <c r="E31" s="360">
        <f>'Gårdens info'!J80</f>
        <v>2005</v>
      </c>
      <c r="F31" s="508"/>
      <c r="G31" s="508"/>
      <c r="H31" s="506">
        <v>15</v>
      </c>
      <c r="I31">
        <f>'Gårdens info'!D80</f>
        <v>600</v>
      </c>
      <c r="J31" s="506">
        <f t="shared" si="109"/>
        <v>0</v>
      </c>
      <c r="K31" s="507">
        <v>0.03</v>
      </c>
      <c r="L31" s="498">
        <f>'Gårdens info'!$D$10/('Gårdens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M31" s="498">
        <f>'Gårdens info'!$D$11/('Gårdens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N31" s="498">
        <f>'Gårdens info'!$D$12/('Gårdens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O31" s="498">
        <f>'Gårdens info'!$D$13/('Gårdens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P31" s="498">
        <f>'Gårdens info'!$D$14/('Gårdens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Q31" s="498">
        <f>'Gårdens info'!$D$15/('Gårdens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R31" s="498">
        <f>'Gårdens info'!$D$16/('Gårdens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S31" s="498">
        <f>'Gårdens info'!$D$17/('Gårdens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T31" s="498">
        <f>'Gårdens info'!$D$18/('Gårdens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U31" s="498">
        <f>'Gårdens info'!$D$22/('Gårdens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0.18518518518518517</v>
      </c>
      <c r="V31" s="498">
        <f>'Gårdens info'!$D$23/('Gårdens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W31" s="498">
        <f>'Gårdens info'!$D$24/('Gårdens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0.14814814814814814</v>
      </c>
      <c r="X31" s="498">
        <f>'Gårdens info'!$D$25/('Gårdens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Y31" s="498">
        <f>'Gårdens info'!$D$26/('Gårdens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0.18518518518518517</v>
      </c>
      <c r="Z31" s="498">
        <f>'Gårdens info'!$D$27/('Gårdens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AA31" s="498">
        <f>'Gårdens info'!$D$28/('Gårdens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0.1111111111111111</v>
      </c>
      <c r="AB31" s="498">
        <f>'Gårdens info'!$D$31/('Gårdens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0.1111111111111111</v>
      </c>
      <c r="AC31" s="498">
        <f>'Gårdens info'!$D$32/('Gårdens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AD31" s="498">
        <f>'Gårdens info'!$D$33/('Gårdens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AE31" s="498">
        <f>'Gårdens info'!$D$34/('Gårdens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AF31" s="498">
        <f>'Gårdens info'!$D$35/('Gårdens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AG31" s="498">
        <f>'Gårdens info'!$D$36/('Gårdens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AH31" s="500">
        <f t="shared" si="110"/>
        <v>1</v>
      </c>
      <c r="AI31" s="21">
        <f t="shared" si="111"/>
        <v>0</v>
      </c>
      <c r="AJ31" s="21">
        <f t="shared" si="112"/>
        <v>0</v>
      </c>
      <c r="AK31" s="21">
        <f t="shared" si="113"/>
        <v>0</v>
      </c>
      <c r="AL31" s="21">
        <f t="shared" si="114"/>
        <v>0</v>
      </c>
      <c r="AM31" s="21">
        <f t="shared" si="101"/>
        <v>0</v>
      </c>
      <c r="AN31" s="21">
        <f t="shared" si="101"/>
        <v>0</v>
      </c>
      <c r="AO31" s="21">
        <f t="shared" si="101"/>
        <v>0</v>
      </c>
      <c r="AP31" s="21">
        <f t="shared" si="101"/>
        <v>0</v>
      </c>
      <c r="AQ31" s="21">
        <f t="shared" si="101"/>
        <v>0</v>
      </c>
      <c r="AR31" s="21">
        <f t="shared" si="115"/>
        <v>0</v>
      </c>
      <c r="AS31" s="21">
        <f t="shared" si="116"/>
        <v>0</v>
      </c>
      <c r="AT31" s="21">
        <f t="shared" si="117"/>
        <v>0</v>
      </c>
      <c r="AU31" s="21">
        <f t="shared" si="118"/>
        <v>0</v>
      </c>
      <c r="AV31" s="21">
        <f t="shared" si="119"/>
        <v>0</v>
      </c>
      <c r="AW31" s="21">
        <f t="shared" si="120"/>
        <v>0</v>
      </c>
      <c r="AX31" s="21">
        <f t="shared" si="121"/>
        <v>0</v>
      </c>
      <c r="AY31" s="21">
        <f t="shared" si="122"/>
        <v>0</v>
      </c>
      <c r="AZ31" s="21">
        <f t="shared" si="123"/>
        <v>0</v>
      </c>
      <c r="BA31" s="21">
        <f t="shared" si="124"/>
        <v>0</v>
      </c>
      <c r="BB31" s="21">
        <f t="shared" si="125"/>
        <v>0</v>
      </c>
      <c r="BC31" s="21">
        <f t="shared" si="126"/>
        <v>0</v>
      </c>
      <c r="BD31" s="21">
        <f t="shared" si="127"/>
        <v>0</v>
      </c>
      <c r="BE31" s="36">
        <f t="shared" si="128"/>
        <v>0</v>
      </c>
      <c r="BF31" s="21">
        <f t="shared" si="129"/>
        <v>0</v>
      </c>
      <c r="BG31" s="21">
        <f t="shared" si="130"/>
        <v>0</v>
      </c>
      <c r="BH31" s="21">
        <f t="shared" si="131"/>
        <v>0</v>
      </c>
      <c r="BI31" s="21">
        <f t="shared" si="103"/>
        <v>0</v>
      </c>
      <c r="BJ31" s="21">
        <f t="shared" si="103"/>
        <v>0</v>
      </c>
      <c r="BK31" s="21">
        <f t="shared" si="103"/>
        <v>0</v>
      </c>
      <c r="BL31" s="21">
        <f t="shared" si="103"/>
        <v>0</v>
      </c>
      <c r="BM31" s="21">
        <f t="shared" si="103"/>
        <v>0</v>
      </c>
      <c r="BN31" s="21">
        <f t="shared" si="132"/>
        <v>0</v>
      </c>
      <c r="BO31" s="21">
        <f t="shared" si="133"/>
        <v>0</v>
      </c>
      <c r="BP31" s="21">
        <f t="shared" si="134"/>
        <v>0</v>
      </c>
      <c r="BQ31" s="21">
        <f t="shared" si="135"/>
        <v>0</v>
      </c>
      <c r="BR31" s="21">
        <f t="shared" si="136"/>
        <v>0</v>
      </c>
      <c r="BS31" s="21">
        <f t="shared" si="137"/>
        <v>0</v>
      </c>
      <c r="BT31" s="21">
        <f t="shared" si="138"/>
        <v>0</v>
      </c>
      <c r="BU31" s="21">
        <f t="shared" si="139"/>
        <v>0</v>
      </c>
      <c r="BV31" s="21">
        <f t="shared" si="140"/>
        <v>0</v>
      </c>
      <c r="BW31" s="21">
        <f t="shared" si="141"/>
        <v>0</v>
      </c>
      <c r="BX31" s="21">
        <f t="shared" si="142"/>
        <v>0</v>
      </c>
      <c r="BY31" s="21">
        <f t="shared" si="143"/>
        <v>0</v>
      </c>
      <c r="BZ31" s="21">
        <f t="shared" si="144"/>
        <v>0</v>
      </c>
      <c r="CA31" s="36">
        <f t="shared" si="145"/>
        <v>0.66666666666666663</v>
      </c>
      <c r="CB31" s="21">
        <f t="shared" si="146"/>
        <v>0.66666666666666663</v>
      </c>
      <c r="CC31" s="21">
        <f t="shared" si="147"/>
        <v>0.66666666666666663</v>
      </c>
      <c r="CD31" s="21">
        <f t="shared" si="148"/>
        <v>0.66666666666666663</v>
      </c>
      <c r="CE31" s="21">
        <f t="shared" si="105"/>
        <v>0</v>
      </c>
      <c r="CF31" s="21">
        <f t="shared" si="105"/>
        <v>0</v>
      </c>
      <c r="CG31" s="21">
        <f t="shared" si="105"/>
        <v>0</v>
      </c>
      <c r="CH31" s="21">
        <f t="shared" si="105"/>
        <v>0</v>
      </c>
      <c r="CI31" s="21">
        <f t="shared" si="105"/>
        <v>0</v>
      </c>
      <c r="CJ31" s="21">
        <f t="shared" si="149"/>
        <v>3.333333333333333</v>
      </c>
      <c r="CK31" s="21">
        <f t="shared" si="150"/>
        <v>0.66666666666666663</v>
      </c>
      <c r="CL31" s="21">
        <f t="shared" si="151"/>
        <v>2.6666666666666665</v>
      </c>
      <c r="CM31" s="21">
        <f t="shared" si="152"/>
        <v>0.66666666666666663</v>
      </c>
      <c r="CN31" s="21">
        <f t="shared" si="153"/>
        <v>3.333333333333333</v>
      </c>
      <c r="CO31" s="21">
        <f t="shared" si="154"/>
        <v>0.66666666666666663</v>
      </c>
      <c r="CP31" s="21">
        <f t="shared" si="155"/>
        <v>2</v>
      </c>
      <c r="CQ31" s="21">
        <f t="shared" si="156"/>
        <v>2</v>
      </c>
      <c r="CR31" s="21">
        <f t="shared" si="157"/>
        <v>0</v>
      </c>
      <c r="CS31" s="21">
        <f t="shared" si="158"/>
        <v>0</v>
      </c>
      <c r="CT31" s="21">
        <f t="shared" si="159"/>
        <v>0</v>
      </c>
      <c r="CU31" s="21">
        <f t="shared" si="160"/>
        <v>0</v>
      </c>
      <c r="CV31" s="21">
        <f t="shared" si="161"/>
        <v>0</v>
      </c>
      <c r="CW31" s="36">
        <f t="shared" si="162"/>
        <v>4.4444444444444439E-2</v>
      </c>
      <c r="CX31" s="21">
        <f t="shared" si="163"/>
        <v>4.4444444444444439E-2</v>
      </c>
      <c r="CY31" s="21">
        <f t="shared" si="164"/>
        <v>4.4444444444444439E-2</v>
      </c>
      <c r="CZ31" s="21">
        <f t="shared" si="165"/>
        <v>4.4444444444444439E-2</v>
      </c>
      <c r="DA31" s="21">
        <f t="shared" si="107"/>
        <v>0</v>
      </c>
      <c r="DB31" s="21">
        <f t="shared" si="107"/>
        <v>0</v>
      </c>
      <c r="DC31" s="21">
        <f t="shared" si="107"/>
        <v>0</v>
      </c>
      <c r="DD31" s="21">
        <f t="shared" si="107"/>
        <v>0</v>
      </c>
      <c r="DE31" s="21">
        <f t="shared" si="107"/>
        <v>0</v>
      </c>
      <c r="DF31" s="21">
        <f t="shared" si="166"/>
        <v>0.22222222222222221</v>
      </c>
      <c r="DG31" s="21">
        <f t="shared" si="167"/>
        <v>4.4444444444444439E-2</v>
      </c>
      <c r="DH31" s="21">
        <f t="shared" si="168"/>
        <v>0.17777777777777776</v>
      </c>
      <c r="DI31" s="21">
        <f t="shared" si="169"/>
        <v>4.4444444444444439E-2</v>
      </c>
      <c r="DJ31" s="21">
        <f t="shared" si="170"/>
        <v>0.22222222222222221</v>
      </c>
      <c r="DK31" s="21">
        <f t="shared" si="171"/>
        <v>4.4444444444444439E-2</v>
      </c>
      <c r="DL31" s="21">
        <f t="shared" si="172"/>
        <v>0.13333333333333333</v>
      </c>
      <c r="DM31" s="21">
        <f t="shared" si="173"/>
        <v>0.13333333333333333</v>
      </c>
      <c r="DN31" s="21">
        <f t="shared" si="174"/>
        <v>0</v>
      </c>
      <c r="DO31" s="21">
        <f t="shared" si="175"/>
        <v>0</v>
      </c>
      <c r="DP31" s="21">
        <f t="shared" si="176"/>
        <v>0</v>
      </c>
      <c r="DQ31" s="21">
        <f t="shared" si="177"/>
        <v>0</v>
      </c>
      <c r="DR31" s="37">
        <f t="shared" si="178"/>
        <v>0</v>
      </c>
    </row>
    <row r="32" spans="1:122" ht="13.8" thickBot="1" x14ac:dyDescent="0.3">
      <c r="B32" s="49" t="str">
        <f>'Gårdens info'!C81</f>
        <v>Kivi Pekka</v>
      </c>
      <c r="C32" s="360"/>
      <c r="D32" s="515"/>
      <c r="E32" s="360">
        <f>'Gårdens info'!J81</f>
        <v>2013</v>
      </c>
      <c r="F32" s="508"/>
      <c r="G32" s="508"/>
      <c r="H32" s="506">
        <v>15</v>
      </c>
      <c r="I32">
        <f>'Gårdens info'!D81</f>
        <v>6000</v>
      </c>
      <c r="J32" s="506">
        <f t="shared" si="109"/>
        <v>0</v>
      </c>
      <c r="K32" s="507">
        <v>0.03</v>
      </c>
      <c r="L32" s="498">
        <f>'Gårdens info'!$D$10/('Gårdens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M32" s="498">
        <f>'Gårdens info'!$D$11/('Gårdens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N32" s="498">
        <f>'Gårdens info'!$D$12/('Gårdens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O32" s="498">
        <f>'Gårdens info'!$D$13/('Gårdens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P32" s="498">
        <f>'Gårdens info'!$D$14/('Gårdens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Q32" s="498">
        <f>'Gårdens info'!$D$15/('Gårdens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R32" s="498">
        <f>'Gårdens info'!$D$16/('Gårdens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S32" s="498">
        <f>'Gårdens info'!$D$17/('Gårdens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T32" s="498">
        <f>'Gårdens info'!$D$18/('Gårdens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U32" s="498">
        <f>'Gårdens info'!$D$22/('Gårdens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0.18518518518518517</v>
      </c>
      <c r="V32" s="498">
        <f>'Gårdens info'!$D$23/('Gårdens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W32" s="498">
        <f>'Gårdens info'!$D$24/('Gårdens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0.14814814814814814</v>
      </c>
      <c r="X32" s="498">
        <f>'Gårdens info'!$D$25/('Gårdens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Y32" s="498">
        <f>'Gårdens info'!$D$26/('Gårdens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0.18518518518518517</v>
      </c>
      <c r="Z32" s="498">
        <f>'Gårdens info'!$D$27/('Gårdens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AA32" s="498">
        <f>'Gårdens info'!$D$28/('Gårdens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0.1111111111111111</v>
      </c>
      <c r="AB32" s="498">
        <f>'Gårdens info'!$D$31/('Gårdens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0.1111111111111111</v>
      </c>
      <c r="AC32" s="498">
        <f>'Gårdens info'!$D$32/('Gårdens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AD32" s="498">
        <f>'Gårdens info'!$D$33/('Gårdens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AE32" s="498">
        <f>'Gårdens info'!$D$34/('Gårdens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AF32" s="498">
        <f>'Gårdens info'!$D$35/('Gårdens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AG32" s="498">
        <f>'Gårdens info'!$D$36/('Gårdens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AH32" s="500">
        <f t="shared" si="110"/>
        <v>1</v>
      </c>
      <c r="AI32" s="21">
        <f t="shared" si="111"/>
        <v>14.814814814814813</v>
      </c>
      <c r="AJ32" s="21">
        <f t="shared" si="112"/>
        <v>14.814814814814813</v>
      </c>
      <c r="AK32" s="21">
        <f t="shared" si="113"/>
        <v>14.814814814814813</v>
      </c>
      <c r="AL32" s="21">
        <f t="shared" si="114"/>
        <v>14.814814814814813</v>
      </c>
      <c r="AM32" s="21">
        <f t="shared" si="101"/>
        <v>0</v>
      </c>
      <c r="AN32" s="21">
        <f t="shared" si="101"/>
        <v>0</v>
      </c>
      <c r="AO32" s="21">
        <f t="shared" si="101"/>
        <v>0</v>
      </c>
      <c r="AP32" s="21">
        <f t="shared" si="101"/>
        <v>0</v>
      </c>
      <c r="AQ32" s="21">
        <f t="shared" si="101"/>
        <v>0</v>
      </c>
      <c r="AR32" s="21">
        <f t="shared" si="115"/>
        <v>74.074074074074076</v>
      </c>
      <c r="AS32" s="21">
        <f t="shared" si="116"/>
        <v>14.814814814814813</v>
      </c>
      <c r="AT32" s="21">
        <f t="shared" si="117"/>
        <v>59.259259259259252</v>
      </c>
      <c r="AU32" s="21">
        <f t="shared" si="118"/>
        <v>14.814814814814813</v>
      </c>
      <c r="AV32" s="21">
        <f t="shared" si="119"/>
        <v>74.074074074074076</v>
      </c>
      <c r="AW32" s="21">
        <f t="shared" si="120"/>
        <v>14.814814814814813</v>
      </c>
      <c r="AX32" s="21">
        <f t="shared" si="121"/>
        <v>44.444444444444443</v>
      </c>
      <c r="AY32" s="21">
        <f t="shared" si="122"/>
        <v>44.444444444444443</v>
      </c>
      <c r="AZ32" s="21">
        <f t="shared" si="123"/>
        <v>0</v>
      </c>
      <c r="BA32" s="21">
        <f t="shared" si="124"/>
        <v>0</v>
      </c>
      <c r="BB32" s="21">
        <f t="shared" si="125"/>
        <v>0</v>
      </c>
      <c r="BC32" s="21">
        <f t="shared" si="126"/>
        <v>0</v>
      </c>
      <c r="BD32" s="21">
        <f t="shared" si="127"/>
        <v>0</v>
      </c>
      <c r="BE32" s="36">
        <f t="shared" si="128"/>
        <v>5.5555555555555554</v>
      </c>
      <c r="BF32" s="21">
        <f t="shared" si="129"/>
        <v>5.5555555555555554</v>
      </c>
      <c r="BG32" s="21">
        <f t="shared" si="130"/>
        <v>5.5555555555555554</v>
      </c>
      <c r="BH32" s="21">
        <f t="shared" si="131"/>
        <v>5.5555555555555554</v>
      </c>
      <c r="BI32" s="21">
        <f t="shared" si="103"/>
        <v>0</v>
      </c>
      <c r="BJ32" s="21">
        <f t="shared" si="103"/>
        <v>0</v>
      </c>
      <c r="BK32" s="21">
        <f t="shared" si="103"/>
        <v>0</v>
      </c>
      <c r="BL32" s="21">
        <f t="shared" si="103"/>
        <v>0</v>
      </c>
      <c r="BM32" s="21">
        <f t="shared" si="103"/>
        <v>0</v>
      </c>
      <c r="BN32" s="21">
        <f t="shared" si="132"/>
        <v>27.777777777777775</v>
      </c>
      <c r="BO32" s="21">
        <f t="shared" si="133"/>
        <v>5.5555555555555554</v>
      </c>
      <c r="BP32" s="21">
        <f t="shared" si="134"/>
        <v>22.222222222222221</v>
      </c>
      <c r="BQ32" s="21">
        <f t="shared" si="135"/>
        <v>5.5555555555555554</v>
      </c>
      <c r="BR32" s="21">
        <f t="shared" si="136"/>
        <v>27.777777777777775</v>
      </c>
      <c r="BS32" s="21">
        <f t="shared" si="137"/>
        <v>5.5555555555555554</v>
      </c>
      <c r="BT32" s="21">
        <f t="shared" si="138"/>
        <v>16.666666666666664</v>
      </c>
      <c r="BU32" s="21">
        <f t="shared" si="139"/>
        <v>16.666666666666664</v>
      </c>
      <c r="BV32" s="21">
        <f t="shared" si="140"/>
        <v>0</v>
      </c>
      <c r="BW32" s="21">
        <f t="shared" si="141"/>
        <v>0</v>
      </c>
      <c r="BX32" s="21">
        <f t="shared" si="142"/>
        <v>0</v>
      </c>
      <c r="BY32" s="21">
        <f t="shared" si="143"/>
        <v>0</v>
      </c>
      <c r="BZ32" s="21">
        <f t="shared" si="144"/>
        <v>0</v>
      </c>
      <c r="CA32" s="36">
        <f t="shared" si="145"/>
        <v>6.6666666666666661</v>
      </c>
      <c r="CB32" s="21">
        <f t="shared" si="146"/>
        <v>6.6666666666666661</v>
      </c>
      <c r="CC32" s="21">
        <f t="shared" si="147"/>
        <v>6.6666666666666661</v>
      </c>
      <c r="CD32" s="21">
        <f t="shared" si="148"/>
        <v>6.6666666666666661</v>
      </c>
      <c r="CE32" s="21">
        <f t="shared" si="105"/>
        <v>0</v>
      </c>
      <c r="CF32" s="21">
        <f t="shared" si="105"/>
        <v>0</v>
      </c>
      <c r="CG32" s="21">
        <f t="shared" si="105"/>
        <v>0</v>
      </c>
      <c r="CH32" s="21">
        <f t="shared" si="105"/>
        <v>0</v>
      </c>
      <c r="CI32" s="21">
        <f t="shared" si="105"/>
        <v>0</v>
      </c>
      <c r="CJ32" s="21">
        <f t="shared" si="149"/>
        <v>33.333333333333329</v>
      </c>
      <c r="CK32" s="21">
        <f t="shared" si="150"/>
        <v>6.6666666666666661</v>
      </c>
      <c r="CL32" s="21">
        <f t="shared" si="151"/>
        <v>26.666666666666664</v>
      </c>
      <c r="CM32" s="21">
        <f t="shared" si="152"/>
        <v>6.6666666666666661</v>
      </c>
      <c r="CN32" s="21">
        <f t="shared" si="153"/>
        <v>33.333333333333329</v>
      </c>
      <c r="CO32" s="21">
        <f t="shared" si="154"/>
        <v>6.6666666666666661</v>
      </c>
      <c r="CP32" s="21">
        <f t="shared" si="155"/>
        <v>20</v>
      </c>
      <c r="CQ32" s="21">
        <f t="shared" si="156"/>
        <v>20</v>
      </c>
      <c r="CR32" s="21">
        <f t="shared" si="157"/>
        <v>0</v>
      </c>
      <c r="CS32" s="21">
        <f t="shared" si="158"/>
        <v>0</v>
      </c>
      <c r="CT32" s="21">
        <f t="shared" si="159"/>
        <v>0</v>
      </c>
      <c r="CU32" s="21">
        <f t="shared" si="160"/>
        <v>0</v>
      </c>
      <c r="CV32" s="21">
        <f t="shared" si="161"/>
        <v>0</v>
      </c>
      <c r="CW32" s="36">
        <f t="shared" si="162"/>
        <v>0.44444444444444442</v>
      </c>
      <c r="CX32" s="21">
        <f t="shared" si="163"/>
        <v>0.44444444444444442</v>
      </c>
      <c r="CY32" s="21">
        <f t="shared" si="164"/>
        <v>0.44444444444444442</v>
      </c>
      <c r="CZ32" s="21">
        <f t="shared" si="165"/>
        <v>0.44444444444444442</v>
      </c>
      <c r="DA32" s="21">
        <f t="shared" si="107"/>
        <v>0</v>
      </c>
      <c r="DB32" s="21">
        <f t="shared" si="107"/>
        <v>0</v>
      </c>
      <c r="DC32" s="21">
        <f t="shared" si="107"/>
        <v>0</v>
      </c>
      <c r="DD32" s="21">
        <f t="shared" si="107"/>
        <v>0</v>
      </c>
      <c r="DE32" s="21">
        <f t="shared" si="107"/>
        <v>0</v>
      </c>
      <c r="DF32" s="21">
        <f t="shared" si="166"/>
        <v>2.2222222222222223</v>
      </c>
      <c r="DG32" s="21">
        <f t="shared" si="167"/>
        <v>0.44444444444444442</v>
      </c>
      <c r="DH32" s="21">
        <f t="shared" si="168"/>
        <v>1.7777777777777777</v>
      </c>
      <c r="DI32" s="21">
        <f t="shared" si="169"/>
        <v>0.44444444444444442</v>
      </c>
      <c r="DJ32" s="21">
        <f t="shared" si="170"/>
        <v>2.2222222222222223</v>
      </c>
      <c r="DK32" s="21">
        <f t="shared" si="171"/>
        <v>0.44444444444444442</v>
      </c>
      <c r="DL32" s="21">
        <f t="shared" si="172"/>
        <v>1.3333333333333333</v>
      </c>
      <c r="DM32" s="21">
        <f t="shared" si="173"/>
        <v>1.3333333333333333</v>
      </c>
      <c r="DN32" s="21">
        <f t="shared" si="174"/>
        <v>0</v>
      </c>
      <c r="DO32" s="21">
        <f t="shared" si="175"/>
        <v>0</v>
      </c>
      <c r="DP32" s="21">
        <f t="shared" si="176"/>
        <v>0</v>
      </c>
      <c r="DQ32" s="21">
        <f t="shared" si="177"/>
        <v>0</v>
      </c>
      <c r="DR32" s="37">
        <f t="shared" si="178"/>
        <v>0</v>
      </c>
    </row>
    <row r="33" spans="2:122" s="732" customFormat="1" ht="13.8" thickBot="1" x14ac:dyDescent="0.3">
      <c r="B33" s="730" t="str">
        <f>'Gårdens info'!C82</f>
        <v>jordgubbsspruta 600 l</v>
      </c>
      <c r="C33" s="733"/>
      <c r="D33" s="734"/>
      <c r="E33" s="733">
        <f>'Gårdens info'!J82</f>
        <v>2011</v>
      </c>
      <c r="F33" s="730"/>
      <c r="G33" s="730"/>
      <c r="H33" s="735">
        <v>15</v>
      </c>
      <c r="I33" s="732">
        <f>'Gårdens info'!D82</f>
        <v>1700</v>
      </c>
      <c r="J33" s="735">
        <f t="shared" si="109"/>
        <v>0</v>
      </c>
      <c r="K33" s="736">
        <v>0.03</v>
      </c>
      <c r="L33" s="737">
        <v>0</v>
      </c>
      <c r="M33" s="738">
        <v>0</v>
      </c>
      <c r="N33" s="738">
        <v>0</v>
      </c>
      <c r="O33" s="738">
        <v>0</v>
      </c>
      <c r="P33" s="738">
        <v>0</v>
      </c>
      <c r="Q33" s="738">
        <v>0</v>
      </c>
      <c r="R33" s="738">
        <v>0</v>
      </c>
      <c r="S33" s="738">
        <v>0</v>
      </c>
      <c r="T33" s="738">
        <v>0</v>
      </c>
      <c r="U33" s="738">
        <v>0.28999999999999998</v>
      </c>
      <c r="V33" s="738">
        <v>0.71</v>
      </c>
      <c r="W33" s="738">
        <v>0</v>
      </c>
      <c r="X33" s="738">
        <v>0</v>
      </c>
      <c r="Y33" s="738">
        <v>0</v>
      </c>
      <c r="Z33" s="738">
        <v>0</v>
      </c>
      <c r="AA33" s="738">
        <v>0</v>
      </c>
      <c r="AB33" s="738">
        <v>0</v>
      </c>
      <c r="AC33" s="738">
        <v>0</v>
      </c>
      <c r="AD33" s="738">
        <v>0</v>
      </c>
      <c r="AE33" s="738">
        <v>0</v>
      </c>
      <c r="AF33" s="738">
        <v>0</v>
      </c>
      <c r="AG33" s="738">
        <v>0</v>
      </c>
      <c r="AH33" s="739">
        <f>+SUM(L33:AG33)</f>
        <v>1</v>
      </c>
      <c r="AI33" s="740">
        <f>IF((($C$7-$E33)&lt;=$H33),(($I33-$J33)/$H33*L33),0)</f>
        <v>0</v>
      </c>
      <c r="AJ33" s="740">
        <f t="shared" si="112"/>
        <v>0</v>
      </c>
      <c r="AK33" s="740">
        <f t="shared" si="113"/>
        <v>0</v>
      </c>
      <c r="AL33" s="740">
        <f t="shared" si="114"/>
        <v>0</v>
      </c>
      <c r="AM33" s="740">
        <f t="shared" si="101"/>
        <v>0</v>
      </c>
      <c r="AN33" s="740">
        <f t="shared" si="101"/>
        <v>0</v>
      </c>
      <c r="AO33" s="740">
        <f t="shared" si="101"/>
        <v>0</v>
      </c>
      <c r="AP33" s="740">
        <f t="shared" si="101"/>
        <v>0</v>
      </c>
      <c r="AQ33" s="740">
        <f t="shared" si="101"/>
        <v>0</v>
      </c>
      <c r="AR33" s="740">
        <f>IF((($C$7-$E33)&lt;=$H33),(($I33-$J33)/$H33*U33),0)</f>
        <v>32.86666666666666</v>
      </c>
      <c r="AS33" s="740">
        <f t="shared" si="116"/>
        <v>80.466666666666654</v>
      </c>
      <c r="AT33" s="740">
        <f t="shared" si="117"/>
        <v>0</v>
      </c>
      <c r="AU33" s="740">
        <f t="shared" si="118"/>
        <v>0</v>
      </c>
      <c r="AV33" s="740">
        <f t="shared" si="119"/>
        <v>0</v>
      </c>
      <c r="AW33" s="740">
        <f t="shared" si="120"/>
        <v>0</v>
      </c>
      <c r="AX33" s="740">
        <f t="shared" si="121"/>
        <v>0</v>
      </c>
      <c r="AY33" s="740">
        <f t="shared" si="122"/>
        <v>0</v>
      </c>
      <c r="AZ33" s="740">
        <f t="shared" si="123"/>
        <v>0</v>
      </c>
      <c r="BA33" s="740">
        <f t="shared" si="124"/>
        <v>0</v>
      </c>
      <c r="BB33" s="740">
        <f t="shared" si="125"/>
        <v>0</v>
      </c>
      <c r="BC33" s="740">
        <f t="shared" si="126"/>
        <v>0</v>
      </c>
      <c r="BD33" s="740">
        <f t="shared" si="127"/>
        <v>0</v>
      </c>
      <c r="BE33" s="741">
        <f>IF(($C$7-$E33&lt;=$H33),(($I33+$J33)/2*$C$8*L33),0)</f>
        <v>0</v>
      </c>
      <c r="BF33" s="740">
        <f t="shared" si="129"/>
        <v>0</v>
      </c>
      <c r="BG33" s="740">
        <f t="shared" si="130"/>
        <v>0</v>
      </c>
      <c r="BH33" s="740">
        <f t="shared" si="131"/>
        <v>0</v>
      </c>
      <c r="BI33" s="740">
        <f t="shared" si="103"/>
        <v>0</v>
      </c>
      <c r="BJ33" s="740">
        <f t="shared" si="103"/>
        <v>0</v>
      </c>
      <c r="BK33" s="740">
        <f t="shared" si="103"/>
        <v>0</v>
      </c>
      <c r="BL33" s="740">
        <f t="shared" si="103"/>
        <v>0</v>
      </c>
      <c r="BM33" s="740">
        <f t="shared" si="103"/>
        <v>0</v>
      </c>
      <c r="BN33" s="740">
        <f>IF(($C$7-$E33&lt;=$H33),(($I33+$J33)/2*$C$8*U33),0)</f>
        <v>12.324999999999999</v>
      </c>
      <c r="BO33" s="740">
        <f t="shared" si="133"/>
        <v>30.174999999999997</v>
      </c>
      <c r="BP33" s="740">
        <f t="shared" si="134"/>
        <v>0</v>
      </c>
      <c r="BQ33" s="740">
        <f t="shared" si="135"/>
        <v>0</v>
      </c>
      <c r="BR33" s="740">
        <f t="shared" si="136"/>
        <v>0</v>
      </c>
      <c r="BS33" s="740">
        <f t="shared" si="137"/>
        <v>0</v>
      </c>
      <c r="BT33" s="740">
        <f t="shared" si="138"/>
        <v>0</v>
      </c>
      <c r="BU33" s="740">
        <f t="shared" si="139"/>
        <v>0</v>
      </c>
      <c r="BV33" s="740">
        <f t="shared" si="140"/>
        <v>0</v>
      </c>
      <c r="BW33" s="740">
        <f t="shared" si="141"/>
        <v>0</v>
      </c>
      <c r="BX33" s="740">
        <f t="shared" si="142"/>
        <v>0</v>
      </c>
      <c r="BY33" s="740">
        <f t="shared" si="143"/>
        <v>0</v>
      </c>
      <c r="BZ33" s="740">
        <f t="shared" si="144"/>
        <v>0</v>
      </c>
      <c r="CA33" s="741">
        <f>$I33*$K33*L33</f>
        <v>0</v>
      </c>
      <c r="CB33" s="740">
        <f t="shared" si="146"/>
        <v>0</v>
      </c>
      <c r="CC33" s="740">
        <f t="shared" si="147"/>
        <v>0</v>
      </c>
      <c r="CD33" s="740">
        <f t="shared" si="148"/>
        <v>0</v>
      </c>
      <c r="CE33" s="740">
        <f t="shared" si="105"/>
        <v>0</v>
      </c>
      <c r="CF33" s="740">
        <f t="shared" si="105"/>
        <v>0</v>
      </c>
      <c r="CG33" s="740">
        <f t="shared" si="105"/>
        <v>0</v>
      </c>
      <c r="CH33" s="740">
        <f t="shared" si="105"/>
        <v>0</v>
      </c>
      <c r="CI33" s="740">
        <f t="shared" si="105"/>
        <v>0</v>
      </c>
      <c r="CJ33" s="740">
        <f>$I33*$K33*U33</f>
        <v>14.79</v>
      </c>
      <c r="CK33" s="740">
        <f t="shared" si="150"/>
        <v>36.21</v>
      </c>
      <c r="CL33" s="740">
        <f t="shared" si="151"/>
        <v>0</v>
      </c>
      <c r="CM33" s="740">
        <f t="shared" si="152"/>
        <v>0</v>
      </c>
      <c r="CN33" s="740">
        <f t="shared" si="153"/>
        <v>0</v>
      </c>
      <c r="CO33" s="740">
        <f t="shared" si="154"/>
        <v>0</v>
      </c>
      <c r="CP33" s="740">
        <f t="shared" si="155"/>
        <v>0</v>
      </c>
      <c r="CQ33" s="740">
        <f t="shared" si="156"/>
        <v>0</v>
      </c>
      <c r="CR33" s="740">
        <f t="shared" si="157"/>
        <v>0</v>
      </c>
      <c r="CS33" s="740">
        <f t="shared" si="158"/>
        <v>0</v>
      </c>
      <c r="CT33" s="740">
        <f t="shared" si="159"/>
        <v>0</v>
      </c>
      <c r="CU33" s="740">
        <f t="shared" si="160"/>
        <v>0</v>
      </c>
      <c r="CV33" s="740">
        <f t="shared" si="161"/>
        <v>0</v>
      </c>
      <c r="CW33" s="741">
        <f>$I33*$C$9*L33</f>
        <v>0</v>
      </c>
      <c r="CX33" s="740">
        <f t="shared" si="163"/>
        <v>0</v>
      </c>
      <c r="CY33" s="740">
        <f t="shared" si="164"/>
        <v>0</v>
      </c>
      <c r="CZ33" s="740">
        <f t="shared" si="165"/>
        <v>0</v>
      </c>
      <c r="DA33" s="740">
        <f t="shared" si="107"/>
        <v>0</v>
      </c>
      <c r="DB33" s="740">
        <f t="shared" si="107"/>
        <v>0</v>
      </c>
      <c r="DC33" s="740">
        <f t="shared" si="107"/>
        <v>0</v>
      </c>
      <c r="DD33" s="740">
        <f t="shared" si="107"/>
        <v>0</v>
      </c>
      <c r="DE33" s="740">
        <f t="shared" si="107"/>
        <v>0</v>
      </c>
      <c r="DF33" s="740">
        <f>$I33*$C$9*U33</f>
        <v>0.98599999999999988</v>
      </c>
      <c r="DG33" s="740">
        <f t="shared" si="167"/>
        <v>2.4139999999999997</v>
      </c>
      <c r="DH33" s="740">
        <f t="shared" si="168"/>
        <v>0</v>
      </c>
      <c r="DI33" s="740">
        <f t="shared" si="169"/>
        <v>0</v>
      </c>
      <c r="DJ33" s="740">
        <f t="shared" si="170"/>
        <v>0</v>
      </c>
      <c r="DK33" s="740">
        <f t="shared" si="171"/>
        <v>0</v>
      </c>
      <c r="DL33" s="740">
        <f t="shared" si="172"/>
        <v>0</v>
      </c>
      <c r="DM33" s="740">
        <f t="shared" si="173"/>
        <v>0</v>
      </c>
      <c r="DN33" s="740">
        <f t="shared" si="174"/>
        <v>0</v>
      </c>
      <c r="DO33" s="740">
        <f t="shared" si="175"/>
        <v>0</v>
      </c>
      <c r="DP33" s="740">
        <f t="shared" si="176"/>
        <v>0</v>
      </c>
      <c r="DQ33" s="740">
        <f t="shared" si="177"/>
        <v>0</v>
      </c>
      <c r="DR33" s="742">
        <f t="shared" si="178"/>
        <v>0</v>
      </c>
    </row>
    <row r="34" spans="2:122" s="732" customFormat="1" ht="13.8" thickBot="1" x14ac:dyDescent="0.3">
      <c r="B34" s="730" t="str">
        <f>'Gårdens info'!C83</f>
        <v>jordgubbsbom</v>
      </c>
      <c r="C34" s="733"/>
      <c r="D34" s="734"/>
      <c r="E34" s="733">
        <f>'Gårdens info'!J83</f>
        <v>2000</v>
      </c>
      <c r="F34" s="730"/>
      <c r="G34" s="730"/>
      <c r="H34" s="735">
        <v>15</v>
      </c>
      <c r="I34" s="732">
        <f>'Gårdens info'!D83</f>
        <v>500</v>
      </c>
      <c r="J34" s="735">
        <f t="shared" si="109"/>
        <v>0</v>
      </c>
      <c r="K34" s="736">
        <v>0.03</v>
      </c>
      <c r="L34" s="737">
        <v>0</v>
      </c>
      <c r="M34" s="738">
        <v>0</v>
      </c>
      <c r="N34" s="738">
        <v>0</v>
      </c>
      <c r="O34" s="738">
        <v>0</v>
      </c>
      <c r="P34" s="738">
        <v>0</v>
      </c>
      <c r="Q34" s="738">
        <v>0</v>
      </c>
      <c r="R34" s="738">
        <v>0</v>
      </c>
      <c r="S34" s="738">
        <v>0</v>
      </c>
      <c r="T34" s="738">
        <v>0</v>
      </c>
      <c r="U34" s="738">
        <v>1</v>
      </c>
      <c r="V34" s="738">
        <v>0</v>
      </c>
      <c r="W34" s="738">
        <v>0</v>
      </c>
      <c r="X34" s="738">
        <v>0</v>
      </c>
      <c r="Y34" s="738">
        <v>0</v>
      </c>
      <c r="Z34" s="738">
        <v>0</v>
      </c>
      <c r="AA34" s="738">
        <v>0</v>
      </c>
      <c r="AB34" s="738">
        <v>0</v>
      </c>
      <c r="AC34" s="738">
        <v>0</v>
      </c>
      <c r="AD34" s="738">
        <v>0</v>
      </c>
      <c r="AE34" s="738">
        <v>0</v>
      </c>
      <c r="AF34" s="738">
        <v>0</v>
      </c>
      <c r="AG34" s="738">
        <v>0</v>
      </c>
      <c r="AH34" s="739">
        <f t="shared" si="110"/>
        <v>1</v>
      </c>
      <c r="AI34" s="740">
        <f t="shared" si="111"/>
        <v>0</v>
      </c>
      <c r="AJ34" s="740">
        <f t="shared" si="112"/>
        <v>0</v>
      </c>
      <c r="AK34" s="740">
        <f t="shared" si="113"/>
        <v>0</v>
      </c>
      <c r="AL34" s="740">
        <f t="shared" si="114"/>
        <v>0</v>
      </c>
      <c r="AM34" s="740">
        <f t="shared" si="101"/>
        <v>0</v>
      </c>
      <c r="AN34" s="740">
        <f t="shared" si="101"/>
        <v>0</v>
      </c>
      <c r="AO34" s="740">
        <f t="shared" si="101"/>
        <v>0</v>
      </c>
      <c r="AP34" s="740">
        <f t="shared" si="101"/>
        <v>0</v>
      </c>
      <c r="AQ34" s="740">
        <f t="shared" si="101"/>
        <v>0</v>
      </c>
      <c r="AR34" s="740">
        <f t="shared" si="115"/>
        <v>0</v>
      </c>
      <c r="AS34" s="740">
        <f t="shared" si="116"/>
        <v>0</v>
      </c>
      <c r="AT34" s="740">
        <f t="shared" si="117"/>
        <v>0</v>
      </c>
      <c r="AU34" s="740">
        <f t="shared" si="118"/>
        <v>0</v>
      </c>
      <c r="AV34" s="740">
        <f t="shared" si="119"/>
        <v>0</v>
      </c>
      <c r="AW34" s="740">
        <f t="shared" si="120"/>
        <v>0</v>
      </c>
      <c r="AX34" s="740">
        <f t="shared" si="121"/>
        <v>0</v>
      </c>
      <c r="AY34" s="740">
        <f t="shared" si="122"/>
        <v>0</v>
      </c>
      <c r="AZ34" s="740">
        <f t="shared" si="123"/>
        <v>0</v>
      </c>
      <c r="BA34" s="740">
        <f t="shared" si="124"/>
        <v>0</v>
      </c>
      <c r="BB34" s="740">
        <f t="shared" si="125"/>
        <v>0</v>
      </c>
      <c r="BC34" s="740">
        <f t="shared" si="126"/>
        <v>0</v>
      </c>
      <c r="BD34" s="740">
        <f t="shared" si="127"/>
        <v>0</v>
      </c>
      <c r="BE34" s="741">
        <f t="shared" si="128"/>
        <v>0</v>
      </c>
      <c r="BF34" s="740">
        <f t="shared" si="129"/>
        <v>0</v>
      </c>
      <c r="BG34" s="740">
        <f t="shared" si="130"/>
        <v>0</v>
      </c>
      <c r="BH34" s="740">
        <f t="shared" si="131"/>
        <v>0</v>
      </c>
      <c r="BI34" s="740">
        <f t="shared" si="103"/>
        <v>0</v>
      </c>
      <c r="BJ34" s="740">
        <f t="shared" si="103"/>
        <v>0</v>
      </c>
      <c r="BK34" s="740">
        <f t="shared" si="103"/>
        <v>0</v>
      </c>
      <c r="BL34" s="740">
        <f t="shared" si="103"/>
        <v>0</v>
      </c>
      <c r="BM34" s="740">
        <f t="shared" si="103"/>
        <v>0</v>
      </c>
      <c r="BN34" s="740">
        <f t="shared" si="132"/>
        <v>0</v>
      </c>
      <c r="BO34" s="740">
        <f t="shared" si="133"/>
        <v>0</v>
      </c>
      <c r="BP34" s="740">
        <f t="shared" si="134"/>
        <v>0</v>
      </c>
      <c r="BQ34" s="740">
        <f t="shared" si="135"/>
        <v>0</v>
      </c>
      <c r="BR34" s="740">
        <f t="shared" si="136"/>
        <v>0</v>
      </c>
      <c r="BS34" s="740">
        <f t="shared" si="137"/>
        <v>0</v>
      </c>
      <c r="BT34" s="740">
        <f t="shared" si="138"/>
        <v>0</v>
      </c>
      <c r="BU34" s="740">
        <f t="shared" si="139"/>
        <v>0</v>
      </c>
      <c r="BV34" s="740">
        <f t="shared" si="140"/>
        <v>0</v>
      </c>
      <c r="BW34" s="740">
        <f t="shared" si="141"/>
        <v>0</v>
      </c>
      <c r="BX34" s="740">
        <f t="shared" si="142"/>
        <v>0</v>
      </c>
      <c r="BY34" s="740">
        <f t="shared" si="143"/>
        <v>0</v>
      </c>
      <c r="BZ34" s="740">
        <f t="shared" si="144"/>
        <v>0</v>
      </c>
      <c r="CA34" s="741">
        <f t="shared" si="145"/>
        <v>0</v>
      </c>
      <c r="CB34" s="740">
        <f t="shared" si="146"/>
        <v>0</v>
      </c>
      <c r="CC34" s="740">
        <f t="shared" si="147"/>
        <v>0</v>
      </c>
      <c r="CD34" s="740">
        <f t="shared" si="148"/>
        <v>0</v>
      </c>
      <c r="CE34" s="740">
        <f t="shared" si="105"/>
        <v>0</v>
      </c>
      <c r="CF34" s="740">
        <f t="shared" si="105"/>
        <v>0</v>
      </c>
      <c r="CG34" s="740">
        <f t="shared" si="105"/>
        <v>0</v>
      </c>
      <c r="CH34" s="740">
        <f t="shared" si="105"/>
        <v>0</v>
      </c>
      <c r="CI34" s="740">
        <f t="shared" si="105"/>
        <v>0</v>
      </c>
      <c r="CJ34" s="740">
        <f t="shared" si="149"/>
        <v>15</v>
      </c>
      <c r="CK34" s="740">
        <f t="shared" si="150"/>
        <v>0</v>
      </c>
      <c r="CL34" s="740">
        <f t="shared" si="151"/>
        <v>0</v>
      </c>
      <c r="CM34" s="740">
        <f t="shared" si="152"/>
        <v>0</v>
      </c>
      <c r="CN34" s="740">
        <f t="shared" si="153"/>
        <v>0</v>
      </c>
      <c r="CO34" s="740">
        <f t="shared" si="154"/>
        <v>0</v>
      </c>
      <c r="CP34" s="740">
        <f t="shared" si="155"/>
        <v>0</v>
      </c>
      <c r="CQ34" s="740">
        <f t="shared" si="156"/>
        <v>0</v>
      </c>
      <c r="CR34" s="740">
        <f t="shared" si="157"/>
        <v>0</v>
      </c>
      <c r="CS34" s="740">
        <f t="shared" si="158"/>
        <v>0</v>
      </c>
      <c r="CT34" s="740">
        <f t="shared" si="159"/>
        <v>0</v>
      </c>
      <c r="CU34" s="740">
        <f t="shared" si="160"/>
        <v>0</v>
      </c>
      <c r="CV34" s="740">
        <f t="shared" si="161"/>
        <v>0</v>
      </c>
      <c r="CW34" s="741">
        <f t="shared" si="162"/>
        <v>0</v>
      </c>
      <c r="CX34" s="740">
        <f t="shared" si="163"/>
        <v>0</v>
      </c>
      <c r="CY34" s="740">
        <f t="shared" si="164"/>
        <v>0</v>
      </c>
      <c r="CZ34" s="740">
        <f t="shared" si="165"/>
        <v>0</v>
      </c>
      <c r="DA34" s="740">
        <f t="shared" si="107"/>
        <v>0</v>
      </c>
      <c r="DB34" s="740">
        <f t="shared" si="107"/>
        <v>0</v>
      </c>
      <c r="DC34" s="740">
        <f t="shared" si="107"/>
        <v>0</v>
      </c>
      <c r="DD34" s="740">
        <f t="shared" si="107"/>
        <v>0</v>
      </c>
      <c r="DE34" s="740">
        <f t="shared" si="107"/>
        <v>0</v>
      </c>
      <c r="DF34" s="740">
        <f t="shared" si="166"/>
        <v>1</v>
      </c>
      <c r="DG34" s="740">
        <f t="shared" si="167"/>
        <v>0</v>
      </c>
      <c r="DH34" s="740">
        <f t="shared" si="168"/>
        <v>0</v>
      </c>
      <c r="DI34" s="740">
        <f t="shared" si="169"/>
        <v>0</v>
      </c>
      <c r="DJ34" s="740">
        <f t="shared" si="170"/>
        <v>0</v>
      </c>
      <c r="DK34" s="740">
        <f t="shared" si="171"/>
        <v>0</v>
      </c>
      <c r="DL34" s="740">
        <f t="shared" si="172"/>
        <v>0</v>
      </c>
      <c r="DM34" s="740">
        <f t="shared" si="173"/>
        <v>0</v>
      </c>
      <c r="DN34" s="740">
        <f t="shared" si="174"/>
        <v>0</v>
      </c>
      <c r="DO34" s="740">
        <f t="shared" si="175"/>
        <v>0</v>
      </c>
      <c r="DP34" s="740">
        <f t="shared" si="176"/>
        <v>0</v>
      </c>
      <c r="DQ34" s="740">
        <f t="shared" si="177"/>
        <v>0</v>
      </c>
      <c r="DR34" s="742">
        <f t="shared" si="178"/>
        <v>0</v>
      </c>
    </row>
    <row r="35" spans="2:122" s="732" customFormat="1" ht="13.8" thickBot="1" x14ac:dyDescent="0.3">
      <c r="B35" s="730" t="str">
        <f>'Gårdens info'!C84</f>
        <v>borstmaskin</v>
      </c>
      <c r="C35" s="733"/>
      <c r="D35" s="734"/>
      <c r="E35" s="733">
        <f>'Gårdens info'!J84</f>
        <v>2013</v>
      </c>
      <c r="F35" s="730"/>
      <c r="G35" s="730"/>
      <c r="H35" s="735">
        <v>15</v>
      </c>
      <c r="I35" s="732">
        <f>'Gårdens info'!D84</f>
        <v>1000</v>
      </c>
      <c r="J35" s="735">
        <f t="shared" si="109"/>
        <v>0</v>
      </c>
      <c r="K35" s="736">
        <v>0.03</v>
      </c>
      <c r="L35" s="737">
        <v>0</v>
      </c>
      <c r="M35" s="738">
        <v>0</v>
      </c>
      <c r="N35" s="738">
        <v>0</v>
      </c>
      <c r="O35" s="738">
        <v>0</v>
      </c>
      <c r="P35" s="738">
        <v>0</v>
      </c>
      <c r="Q35" s="738">
        <v>0</v>
      </c>
      <c r="R35" s="738">
        <v>0</v>
      </c>
      <c r="S35" s="738">
        <v>0</v>
      </c>
      <c r="T35" s="738">
        <v>0</v>
      </c>
      <c r="U35" s="738">
        <v>1</v>
      </c>
      <c r="V35" s="738">
        <v>0</v>
      </c>
      <c r="W35" s="738">
        <v>0</v>
      </c>
      <c r="X35" s="738">
        <v>0</v>
      </c>
      <c r="Y35" s="738">
        <v>0</v>
      </c>
      <c r="Z35" s="738">
        <v>0</v>
      </c>
      <c r="AA35" s="738">
        <v>0</v>
      </c>
      <c r="AB35" s="738">
        <v>0</v>
      </c>
      <c r="AC35" s="738">
        <v>0</v>
      </c>
      <c r="AD35" s="738">
        <v>0</v>
      </c>
      <c r="AE35" s="738">
        <v>0</v>
      </c>
      <c r="AF35" s="738">
        <v>0</v>
      </c>
      <c r="AG35" s="738">
        <v>0</v>
      </c>
      <c r="AH35" s="739">
        <f t="shared" si="110"/>
        <v>1</v>
      </c>
      <c r="AI35" s="740">
        <f t="shared" si="111"/>
        <v>0</v>
      </c>
      <c r="AJ35" s="740">
        <f t="shared" si="112"/>
        <v>0</v>
      </c>
      <c r="AK35" s="740">
        <f t="shared" si="113"/>
        <v>0</v>
      </c>
      <c r="AL35" s="740">
        <f t="shared" si="114"/>
        <v>0</v>
      </c>
      <c r="AM35" s="740">
        <f t="shared" si="101"/>
        <v>0</v>
      </c>
      <c r="AN35" s="740">
        <f t="shared" si="101"/>
        <v>0</v>
      </c>
      <c r="AO35" s="740">
        <f t="shared" si="101"/>
        <v>0</v>
      </c>
      <c r="AP35" s="740">
        <f t="shared" si="101"/>
        <v>0</v>
      </c>
      <c r="AQ35" s="740">
        <f t="shared" si="101"/>
        <v>0</v>
      </c>
      <c r="AR35" s="740">
        <f t="shared" si="115"/>
        <v>66.666666666666671</v>
      </c>
      <c r="AS35" s="740">
        <f t="shared" si="116"/>
        <v>0</v>
      </c>
      <c r="AT35" s="740">
        <f t="shared" si="117"/>
        <v>0</v>
      </c>
      <c r="AU35" s="740">
        <f t="shared" si="118"/>
        <v>0</v>
      </c>
      <c r="AV35" s="740">
        <f t="shared" si="119"/>
        <v>0</v>
      </c>
      <c r="AW35" s="740">
        <f t="shared" si="120"/>
        <v>0</v>
      </c>
      <c r="AX35" s="740">
        <f t="shared" si="121"/>
        <v>0</v>
      </c>
      <c r="AY35" s="740">
        <f t="shared" si="122"/>
        <v>0</v>
      </c>
      <c r="AZ35" s="740">
        <f t="shared" si="123"/>
        <v>0</v>
      </c>
      <c r="BA35" s="740">
        <f t="shared" si="124"/>
        <v>0</v>
      </c>
      <c r="BB35" s="740">
        <f t="shared" si="125"/>
        <v>0</v>
      </c>
      <c r="BC35" s="740">
        <f t="shared" si="126"/>
        <v>0</v>
      </c>
      <c r="BD35" s="740">
        <f t="shared" si="127"/>
        <v>0</v>
      </c>
      <c r="BE35" s="741">
        <f t="shared" si="128"/>
        <v>0</v>
      </c>
      <c r="BF35" s="740">
        <f t="shared" si="129"/>
        <v>0</v>
      </c>
      <c r="BG35" s="740">
        <f t="shared" si="130"/>
        <v>0</v>
      </c>
      <c r="BH35" s="740">
        <f t="shared" si="131"/>
        <v>0</v>
      </c>
      <c r="BI35" s="740">
        <f t="shared" si="103"/>
        <v>0</v>
      </c>
      <c r="BJ35" s="740">
        <f t="shared" si="103"/>
        <v>0</v>
      </c>
      <c r="BK35" s="740">
        <f t="shared" si="103"/>
        <v>0</v>
      </c>
      <c r="BL35" s="740">
        <f t="shared" si="103"/>
        <v>0</v>
      </c>
      <c r="BM35" s="740">
        <f t="shared" si="103"/>
        <v>0</v>
      </c>
      <c r="BN35" s="740">
        <f t="shared" si="132"/>
        <v>25</v>
      </c>
      <c r="BO35" s="740">
        <f t="shared" si="133"/>
        <v>0</v>
      </c>
      <c r="BP35" s="740">
        <f t="shared" si="134"/>
        <v>0</v>
      </c>
      <c r="BQ35" s="740">
        <f t="shared" si="135"/>
        <v>0</v>
      </c>
      <c r="BR35" s="740">
        <f t="shared" si="136"/>
        <v>0</v>
      </c>
      <c r="BS35" s="740">
        <f t="shared" si="137"/>
        <v>0</v>
      </c>
      <c r="BT35" s="740">
        <f t="shared" si="138"/>
        <v>0</v>
      </c>
      <c r="BU35" s="740">
        <f t="shared" si="139"/>
        <v>0</v>
      </c>
      <c r="BV35" s="740">
        <f t="shared" si="140"/>
        <v>0</v>
      </c>
      <c r="BW35" s="740">
        <f t="shared" si="141"/>
        <v>0</v>
      </c>
      <c r="BX35" s="740">
        <f t="shared" si="142"/>
        <v>0</v>
      </c>
      <c r="BY35" s="740">
        <f t="shared" si="143"/>
        <v>0</v>
      </c>
      <c r="BZ35" s="740">
        <f t="shared" si="144"/>
        <v>0</v>
      </c>
      <c r="CA35" s="741">
        <f t="shared" si="145"/>
        <v>0</v>
      </c>
      <c r="CB35" s="740">
        <f t="shared" si="146"/>
        <v>0</v>
      </c>
      <c r="CC35" s="740">
        <f t="shared" si="147"/>
        <v>0</v>
      </c>
      <c r="CD35" s="740">
        <f t="shared" si="148"/>
        <v>0</v>
      </c>
      <c r="CE35" s="740">
        <f t="shared" si="105"/>
        <v>0</v>
      </c>
      <c r="CF35" s="740">
        <f t="shared" si="105"/>
        <v>0</v>
      </c>
      <c r="CG35" s="740">
        <f t="shared" si="105"/>
        <v>0</v>
      </c>
      <c r="CH35" s="740">
        <f t="shared" si="105"/>
        <v>0</v>
      </c>
      <c r="CI35" s="740">
        <f t="shared" si="105"/>
        <v>0</v>
      </c>
      <c r="CJ35" s="740">
        <f t="shared" si="149"/>
        <v>30</v>
      </c>
      <c r="CK35" s="740">
        <f t="shared" si="150"/>
        <v>0</v>
      </c>
      <c r="CL35" s="740">
        <f t="shared" si="151"/>
        <v>0</v>
      </c>
      <c r="CM35" s="740">
        <f t="shared" si="152"/>
        <v>0</v>
      </c>
      <c r="CN35" s="740">
        <f t="shared" si="153"/>
        <v>0</v>
      </c>
      <c r="CO35" s="740">
        <f t="shared" si="154"/>
        <v>0</v>
      </c>
      <c r="CP35" s="740">
        <f t="shared" si="155"/>
        <v>0</v>
      </c>
      <c r="CQ35" s="740">
        <f t="shared" si="156"/>
        <v>0</v>
      </c>
      <c r="CR35" s="740">
        <f t="shared" si="157"/>
        <v>0</v>
      </c>
      <c r="CS35" s="740">
        <f t="shared" si="158"/>
        <v>0</v>
      </c>
      <c r="CT35" s="740">
        <f t="shared" si="159"/>
        <v>0</v>
      </c>
      <c r="CU35" s="740">
        <f t="shared" si="160"/>
        <v>0</v>
      </c>
      <c r="CV35" s="740">
        <f t="shared" si="161"/>
        <v>0</v>
      </c>
      <c r="CW35" s="741">
        <f t="shared" si="162"/>
        <v>0</v>
      </c>
      <c r="CX35" s="740">
        <f t="shared" si="163"/>
        <v>0</v>
      </c>
      <c r="CY35" s="740">
        <f t="shared" si="164"/>
        <v>0</v>
      </c>
      <c r="CZ35" s="740">
        <f t="shared" si="165"/>
        <v>0</v>
      </c>
      <c r="DA35" s="740">
        <f t="shared" si="107"/>
        <v>0</v>
      </c>
      <c r="DB35" s="740">
        <f t="shared" si="107"/>
        <v>0</v>
      </c>
      <c r="DC35" s="740">
        <f t="shared" si="107"/>
        <v>0</v>
      </c>
      <c r="DD35" s="740">
        <f t="shared" si="107"/>
        <v>0</v>
      </c>
      <c r="DE35" s="740">
        <f t="shared" si="107"/>
        <v>0</v>
      </c>
      <c r="DF35" s="740">
        <f t="shared" si="166"/>
        <v>2</v>
      </c>
      <c r="DG35" s="740">
        <f t="shared" si="167"/>
        <v>0</v>
      </c>
      <c r="DH35" s="740">
        <f t="shared" si="168"/>
        <v>0</v>
      </c>
      <c r="DI35" s="740">
        <f t="shared" si="169"/>
        <v>0</v>
      </c>
      <c r="DJ35" s="740">
        <f t="shared" si="170"/>
        <v>0</v>
      </c>
      <c r="DK35" s="740">
        <f t="shared" si="171"/>
        <v>0</v>
      </c>
      <c r="DL35" s="740">
        <f t="shared" si="172"/>
        <v>0</v>
      </c>
      <c r="DM35" s="740">
        <f t="shared" si="173"/>
        <v>0</v>
      </c>
      <c r="DN35" s="740">
        <f t="shared" si="174"/>
        <v>0</v>
      </c>
      <c r="DO35" s="740">
        <f t="shared" si="175"/>
        <v>0</v>
      </c>
      <c r="DP35" s="740">
        <f t="shared" si="176"/>
        <v>0</v>
      </c>
      <c r="DQ35" s="740">
        <f t="shared" si="177"/>
        <v>0</v>
      </c>
      <c r="DR35" s="742">
        <f t="shared" si="178"/>
        <v>0</v>
      </c>
    </row>
    <row r="36" spans="2:122" s="732" customFormat="1" ht="13.8" thickBot="1" x14ac:dyDescent="0.3">
      <c r="B36" s="730" t="str">
        <f>'Gårdens info'!C85</f>
        <v>precisionssåmaskin</v>
      </c>
      <c r="C36" s="733"/>
      <c r="D36" s="734"/>
      <c r="E36" s="733">
        <f>'Gårdens info'!J85</f>
        <v>2018</v>
      </c>
      <c r="F36" s="730"/>
      <c r="G36" s="730"/>
      <c r="H36" s="735">
        <v>15</v>
      </c>
      <c r="I36" s="732">
        <f>'Gårdens info'!D85</f>
        <v>30000</v>
      </c>
      <c r="J36" s="735">
        <v>0</v>
      </c>
      <c r="K36" s="736">
        <v>0.03</v>
      </c>
      <c r="L36" s="737">
        <f>IF('Gårdens info'!$D$10&gt;0,('Gårdens info'!$D$10/('Gårdens info'!$D$10+'Gårdens info'!$D$13+'Gårdens info'!$D$15+'Gårdens info'!$D$16)),0)</f>
        <v>0.5</v>
      </c>
      <c r="M36" s="738">
        <v>0</v>
      </c>
      <c r="N36" s="738">
        <v>0</v>
      </c>
      <c r="O36" s="738">
        <f>IF('Gårdens info'!$D$13&gt;0,('Gårdens info'!$D$13/('Gårdens info'!$D$10+'Gårdens info'!$D$13+'Gårdens info'!$D$15+'Gårdens info'!$D$16)),0)</f>
        <v>0.5</v>
      </c>
      <c r="P36" s="738">
        <f>IF('Gårdens info'!$D$14&gt;0,('Gårdens info'!$D$14/('Gårdens info'!$D$10+'Gårdens info'!$D$13+'Gårdens info'!$D$15+'Gårdens info'!$D$16)),0)</f>
        <v>0</v>
      </c>
      <c r="Q36" s="738">
        <f>IF('Gårdens info'!$D$15&gt;0,('Gårdens info'!$D$15/('Gårdens info'!$D$10+'Gårdens info'!$D$13+'Gårdens info'!$D$15+'Gårdens info'!$D$16)),0)</f>
        <v>0</v>
      </c>
      <c r="R36" s="738">
        <v>0</v>
      </c>
      <c r="S36" s="738">
        <v>0</v>
      </c>
      <c r="T36" s="738">
        <v>0</v>
      </c>
      <c r="U36" s="738">
        <v>0</v>
      </c>
      <c r="V36" s="738">
        <v>0</v>
      </c>
      <c r="W36" s="738">
        <v>0</v>
      </c>
      <c r="X36" s="738">
        <v>0</v>
      </c>
      <c r="Y36" s="738">
        <v>0</v>
      </c>
      <c r="Z36" s="738">
        <v>0</v>
      </c>
      <c r="AA36" s="738">
        <v>0</v>
      </c>
      <c r="AB36" s="738">
        <v>0</v>
      </c>
      <c r="AC36" s="738">
        <v>0</v>
      </c>
      <c r="AD36" s="738">
        <v>0</v>
      </c>
      <c r="AE36" s="738">
        <v>0</v>
      </c>
      <c r="AF36" s="738">
        <v>0</v>
      </c>
      <c r="AG36" s="738">
        <v>0</v>
      </c>
      <c r="AH36" s="739">
        <f t="shared" si="110"/>
        <v>1</v>
      </c>
      <c r="AI36" s="21">
        <f t="shared" si="111"/>
        <v>1000</v>
      </c>
      <c r="AJ36" s="21">
        <f t="shared" si="112"/>
        <v>0</v>
      </c>
      <c r="AK36" s="21">
        <f t="shared" si="113"/>
        <v>0</v>
      </c>
      <c r="AL36" s="21">
        <f t="shared" si="114"/>
        <v>1000</v>
      </c>
      <c r="AM36" s="21">
        <f t="shared" si="101"/>
        <v>0</v>
      </c>
      <c r="AN36" s="21">
        <f t="shared" si="101"/>
        <v>0</v>
      </c>
      <c r="AO36" s="21">
        <f t="shared" si="101"/>
        <v>0</v>
      </c>
      <c r="AP36" s="21">
        <f t="shared" si="101"/>
        <v>0</v>
      </c>
      <c r="AQ36" s="21">
        <f t="shared" si="101"/>
        <v>0</v>
      </c>
      <c r="AR36" s="21">
        <f t="shared" si="115"/>
        <v>0</v>
      </c>
      <c r="AS36" s="21">
        <f t="shared" si="116"/>
        <v>0</v>
      </c>
      <c r="AT36" s="21">
        <f t="shared" si="117"/>
        <v>0</v>
      </c>
      <c r="AU36" s="21">
        <f t="shared" si="118"/>
        <v>0</v>
      </c>
      <c r="AV36" s="21">
        <f t="shared" si="119"/>
        <v>0</v>
      </c>
      <c r="AW36" s="21">
        <f t="shared" si="120"/>
        <v>0</v>
      </c>
      <c r="AX36" s="21">
        <f t="shared" si="121"/>
        <v>0</v>
      </c>
      <c r="AY36" s="21">
        <f t="shared" si="122"/>
        <v>0</v>
      </c>
      <c r="AZ36" s="21">
        <f t="shared" si="123"/>
        <v>0</v>
      </c>
      <c r="BA36" s="21">
        <f t="shared" si="124"/>
        <v>0</v>
      </c>
      <c r="BB36" s="21">
        <f t="shared" si="125"/>
        <v>0</v>
      </c>
      <c r="BC36" s="21">
        <f t="shared" si="126"/>
        <v>0</v>
      </c>
      <c r="BD36" s="21">
        <f t="shared" si="127"/>
        <v>0</v>
      </c>
      <c r="BE36" s="36">
        <f t="shared" si="128"/>
        <v>375</v>
      </c>
      <c r="BF36" s="21">
        <f t="shared" si="129"/>
        <v>0</v>
      </c>
      <c r="BG36" s="21">
        <f t="shared" si="130"/>
        <v>0</v>
      </c>
      <c r="BH36" s="21">
        <f t="shared" si="131"/>
        <v>375</v>
      </c>
      <c r="BI36" s="21">
        <f t="shared" si="103"/>
        <v>0</v>
      </c>
      <c r="BJ36" s="21">
        <f t="shared" si="103"/>
        <v>0</v>
      </c>
      <c r="BK36" s="21">
        <f t="shared" si="103"/>
        <v>0</v>
      </c>
      <c r="BL36" s="21">
        <f t="shared" si="103"/>
        <v>0</v>
      </c>
      <c r="BM36" s="21">
        <f t="shared" si="103"/>
        <v>0</v>
      </c>
      <c r="BN36" s="21">
        <f t="shared" si="132"/>
        <v>0</v>
      </c>
      <c r="BO36" s="21">
        <f t="shared" si="133"/>
        <v>0</v>
      </c>
      <c r="BP36" s="21">
        <f t="shared" si="134"/>
        <v>0</v>
      </c>
      <c r="BQ36" s="21">
        <f t="shared" si="135"/>
        <v>0</v>
      </c>
      <c r="BR36" s="21">
        <f t="shared" si="136"/>
        <v>0</v>
      </c>
      <c r="BS36" s="21">
        <f t="shared" si="137"/>
        <v>0</v>
      </c>
      <c r="BT36" s="21">
        <f t="shared" si="138"/>
        <v>0</v>
      </c>
      <c r="BU36" s="21">
        <f t="shared" si="139"/>
        <v>0</v>
      </c>
      <c r="BV36" s="21">
        <f t="shared" si="140"/>
        <v>0</v>
      </c>
      <c r="BW36" s="21">
        <f t="shared" si="141"/>
        <v>0</v>
      </c>
      <c r="BX36" s="21">
        <f t="shared" si="142"/>
        <v>0</v>
      </c>
      <c r="BY36" s="21">
        <f t="shared" si="143"/>
        <v>0</v>
      </c>
      <c r="BZ36" s="21">
        <f t="shared" si="144"/>
        <v>0</v>
      </c>
      <c r="CA36" s="21">
        <f>$I36*$K36*L36</f>
        <v>450</v>
      </c>
      <c r="CB36" s="21">
        <f t="shared" si="146"/>
        <v>0</v>
      </c>
      <c r="CC36" s="21">
        <f t="shared" si="147"/>
        <v>0</v>
      </c>
      <c r="CD36" s="21">
        <f t="shared" si="148"/>
        <v>450</v>
      </c>
      <c r="CE36" s="21">
        <f t="shared" si="105"/>
        <v>0</v>
      </c>
      <c r="CF36" s="21">
        <f t="shared" si="105"/>
        <v>0</v>
      </c>
      <c r="CG36" s="21">
        <f t="shared" si="105"/>
        <v>0</v>
      </c>
      <c r="CH36" s="21">
        <f t="shared" si="105"/>
        <v>0</v>
      </c>
      <c r="CI36" s="21">
        <f t="shared" si="105"/>
        <v>0</v>
      </c>
      <c r="CJ36" s="21">
        <f t="shared" si="149"/>
        <v>0</v>
      </c>
      <c r="CK36" s="21">
        <f t="shared" si="150"/>
        <v>0</v>
      </c>
      <c r="CL36" s="21">
        <f t="shared" si="151"/>
        <v>0</v>
      </c>
      <c r="CM36" s="21">
        <f t="shared" si="152"/>
        <v>0</v>
      </c>
      <c r="CN36" s="21">
        <f t="shared" si="153"/>
        <v>0</v>
      </c>
      <c r="CO36" s="21">
        <f t="shared" si="154"/>
        <v>0</v>
      </c>
      <c r="CP36" s="21">
        <f t="shared" si="155"/>
        <v>0</v>
      </c>
      <c r="CQ36" s="21">
        <f t="shared" si="156"/>
        <v>0</v>
      </c>
      <c r="CR36" s="21">
        <f t="shared" si="157"/>
        <v>0</v>
      </c>
      <c r="CS36" s="21">
        <f t="shared" si="158"/>
        <v>0</v>
      </c>
      <c r="CT36" s="21">
        <f t="shared" si="159"/>
        <v>0</v>
      </c>
      <c r="CU36" s="21">
        <f t="shared" si="160"/>
        <v>0</v>
      </c>
      <c r="CV36" s="21">
        <f t="shared" si="161"/>
        <v>0</v>
      </c>
      <c r="CW36" s="21">
        <f>$I36*$C$9*L36</f>
        <v>30</v>
      </c>
      <c r="CX36" s="21">
        <f t="shared" si="163"/>
        <v>0</v>
      </c>
      <c r="CY36" s="21">
        <f t="shared" si="164"/>
        <v>0</v>
      </c>
      <c r="CZ36" s="21">
        <f t="shared" si="165"/>
        <v>30</v>
      </c>
      <c r="DA36" s="21">
        <f t="shared" si="107"/>
        <v>0</v>
      </c>
      <c r="DB36" s="21">
        <f t="shared" si="107"/>
        <v>0</v>
      </c>
      <c r="DC36" s="21">
        <f t="shared" si="107"/>
        <v>0</v>
      </c>
      <c r="DD36" s="21">
        <f t="shared" si="107"/>
        <v>0</v>
      </c>
      <c r="DE36" s="21">
        <f t="shared" si="107"/>
        <v>0</v>
      </c>
      <c r="DF36" s="21">
        <f t="shared" si="166"/>
        <v>0</v>
      </c>
      <c r="DG36" s="21">
        <f t="shared" si="167"/>
        <v>0</v>
      </c>
      <c r="DH36" s="21">
        <f t="shared" si="168"/>
        <v>0</v>
      </c>
      <c r="DI36" s="21">
        <f t="shared" si="169"/>
        <v>0</v>
      </c>
      <c r="DJ36" s="21">
        <f t="shared" si="170"/>
        <v>0</v>
      </c>
      <c r="DK36" s="21">
        <f t="shared" si="171"/>
        <v>0</v>
      </c>
      <c r="DL36" s="21">
        <f t="shared" si="172"/>
        <v>0</v>
      </c>
      <c r="DM36" s="21">
        <f t="shared" si="173"/>
        <v>0</v>
      </c>
      <c r="DN36" s="21">
        <f t="shared" si="174"/>
        <v>0</v>
      </c>
      <c r="DO36" s="21">
        <f t="shared" si="175"/>
        <v>0</v>
      </c>
      <c r="DP36" s="21">
        <f t="shared" si="176"/>
        <v>0</v>
      </c>
      <c r="DQ36" s="21">
        <f t="shared" si="177"/>
        <v>0</v>
      </c>
      <c r="DR36" s="21">
        <f t="shared" si="178"/>
        <v>0</v>
      </c>
    </row>
    <row r="37" spans="2:122" s="732" customFormat="1" ht="13.8" thickBot="1" x14ac:dyDescent="0.3">
      <c r="B37" s="730" t="str">
        <f>'Gårdens info'!C86</f>
        <v>planteringsmaskin</v>
      </c>
      <c r="C37" s="733"/>
      <c r="D37" s="734"/>
      <c r="E37" s="733">
        <f>'Gårdens info'!J86</f>
        <v>2020</v>
      </c>
      <c r="F37" s="730"/>
      <c r="G37" s="730"/>
      <c r="H37" s="735">
        <v>15</v>
      </c>
      <c r="I37" s="732">
        <f>'Gårdens info'!D86</f>
        <v>25000</v>
      </c>
      <c r="J37" s="735">
        <v>0</v>
      </c>
      <c r="K37" s="736">
        <v>0.03</v>
      </c>
      <c r="L37" s="737">
        <v>0</v>
      </c>
      <c r="M37" s="738">
        <v>1</v>
      </c>
      <c r="N37" s="738">
        <v>0</v>
      </c>
      <c r="O37" s="738">
        <v>0</v>
      </c>
      <c r="P37" s="738">
        <v>0</v>
      </c>
      <c r="Q37" s="738">
        <v>0</v>
      </c>
      <c r="R37" s="738">
        <v>0</v>
      </c>
      <c r="S37" s="738">
        <v>0</v>
      </c>
      <c r="T37" s="738">
        <v>0</v>
      </c>
      <c r="U37" s="738">
        <v>0</v>
      </c>
      <c r="V37" s="738">
        <v>0</v>
      </c>
      <c r="W37" s="738">
        <v>0</v>
      </c>
      <c r="X37" s="738">
        <v>0</v>
      </c>
      <c r="Y37" s="738">
        <v>0</v>
      </c>
      <c r="Z37" s="738">
        <v>0</v>
      </c>
      <c r="AA37" s="738">
        <v>0</v>
      </c>
      <c r="AB37" s="738">
        <v>0</v>
      </c>
      <c r="AC37" s="738">
        <v>0</v>
      </c>
      <c r="AD37" s="738">
        <v>0</v>
      </c>
      <c r="AE37" s="738">
        <v>0</v>
      </c>
      <c r="AF37" s="738">
        <v>0</v>
      </c>
      <c r="AG37" s="738">
        <v>0</v>
      </c>
      <c r="AH37" s="739">
        <f t="shared" si="110"/>
        <v>1</v>
      </c>
      <c r="AI37" s="21">
        <f t="shared" si="111"/>
        <v>0</v>
      </c>
      <c r="AJ37" s="21">
        <f t="shared" si="112"/>
        <v>1666.6666666666667</v>
      </c>
      <c r="AK37" s="21">
        <f t="shared" si="113"/>
        <v>0</v>
      </c>
      <c r="AL37" s="21">
        <f t="shared" si="114"/>
        <v>0</v>
      </c>
      <c r="AM37" s="21">
        <f t="shared" si="101"/>
        <v>0</v>
      </c>
      <c r="AN37" s="21">
        <f t="shared" si="101"/>
        <v>0</v>
      </c>
      <c r="AO37" s="21">
        <f t="shared" si="101"/>
        <v>0</v>
      </c>
      <c r="AP37" s="21">
        <f t="shared" si="101"/>
        <v>0</v>
      </c>
      <c r="AQ37" s="21">
        <f t="shared" si="101"/>
        <v>0</v>
      </c>
      <c r="AR37" s="21">
        <f t="shared" si="115"/>
        <v>0</v>
      </c>
      <c r="AS37" s="21">
        <f t="shared" si="116"/>
        <v>0</v>
      </c>
      <c r="AT37" s="21">
        <f t="shared" si="117"/>
        <v>0</v>
      </c>
      <c r="AU37" s="21">
        <f t="shared" si="118"/>
        <v>0</v>
      </c>
      <c r="AV37" s="21">
        <f t="shared" si="119"/>
        <v>0</v>
      </c>
      <c r="AW37" s="21">
        <f t="shared" si="120"/>
        <v>0</v>
      </c>
      <c r="AX37" s="21">
        <f t="shared" si="121"/>
        <v>0</v>
      </c>
      <c r="AY37" s="21">
        <f t="shared" si="122"/>
        <v>0</v>
      </c>
      <c r="AZ37" s="21">
        <f t="shared" si="123"/>
        <v>0</v>
      </c>
      <c r="BA37" s="21">
        <f t="shared" si="124"/>
        <v>0</v>
      </c>
      <c r="BB37" s="21">
        <f t="shared" si="125"/>
        <v>0</v>
      </c>
      <c r="BC37" s="21">
        <f t="shared" si="126"/>
        <v>0</v>
      </c>
      <c r="BD37" s="21">
        <f t="shared" si="127"/>
        <v>0</v>
      </c>
      <c r="BE37" s="36">
        <f t="shared" si="128"/>
        <v>0</v>
      </c>
      <c r="BF37" s="21">
        <f t="shared" si="129"/>
        <v>625</v>
      </c>
      <c r="BG37" s="21">
        <f t="shared" si="130"/>
        <v>0</v>
      </c>
      <c r="BH37" s="21">
        <f t="shared" si="131"/>
        <v>0</v>
      </c>
      <c r="BI37" s="21">
        <f t="shared" si="103"/>
        <v>0</v>
      </c>
      <c r="BJ37" s="21">
        <f t="shared" si="103"/>
        <v>0</v>
      </c>
      <c r="BK37" s="21">
        <f t="shared" si="103"/>
        <v>0</v>
      </c>
      <c r="BL37" s="21">
        <f t="shared" si="103"/>
        <v>0</v>
      </c>
      <c r="BM37" s="21">
        <f t="shared" si="103"/>
        <v>0</v>
      </c>
      <c r="BN37" s="21">
        <f t="shared" si="132"/>
        <v>0</v>
      </c>
      <c r="BO37" s="21">
        <f t="shared" si="133"/>
        <v>0</v>
      </c>
      <c r="BP37" s="21">
        <f t="shared" si="134"/>
        <v>0</v>
      </c>
      <c r="BQ37" s="21">
        <f t="shared" si="135"/>
        <v>0</v>
      </c>
      <c r="BR37" s="21">
        <f t="shared" si="136"/>
        <v>0</v>
      </c>
      <c r="BS37" s="21">
        <f t="shared" si="137"/>
        <v>0</v>
      </c>
      <c r="BT37" s="21">
        <f t="shared" si="138"/>
        <v>0</v>
      </c>
      <c r="BU37" s="21">
        <f t="shared" si="139"/>
        <v>0</v>
      </c>
      <c r="BV37" s="21">
        <f t="shared" si="140"/>
        <v>0</v>
      </c>
      <c r="BW37" s="21">
        <f t="shared" si="141"/>
        <v>0</v>
      </c>
      <c r="BX37" s="21">
        <f t="shared" si="142"/>
        <v>0</v>
      </c>
      <c r="BY37" s="21">
        <f t="shared" si="143"/>
        <v>0</v>
      </c>
      <c r="BZ37" s="21">
        <f t="shared" si="144"/>
        <v>0</v>
      </c>
      <c r="CA37" s="21">
        <f>$I37*$K37*L37</f>
        <v>0</v>
      </c>
      <c r="CB37" s="21">
        <f t="shared" si="146"/>
        <v>750</v>
      </c>
      <c r="CC37" s="21">
        <f t="shared" si="147"/>
        <v>0</v>
      </c>
      <c r="CD37" s="21">
        <f t="shared" si="148"/>
        <v>0</v>
      </c>
      <c r="CE37" s="21">
        <f t="shared" si="105"/>
        <v>0</v>
      </c>
      <c r="CF37" s="21">
        <f t="shared" si="105"/>
        <v>0</v>
      </c>
      <c r="CG37" s="21">
        <f t="shared" si="105"/>
        <v>0</v>
      </c>
      <c r="CH37" s="21">
        <f t="shared" si="105"/>
        <v>0</v>
      </c>
      <c r="CI37" s="21">
        <f t="shared" si="105"/>
        <v>0</v>
      </c>
      <c r="CJ37" s="21">
        <f t="shared" si="149"/>
        <v>0</v>
      </c>
      <c r="CK37" s="21">
        <f t="shared" si="150"/>
        <v>0</v>
      </c>
      <c r="CL37" s="21">
        <f t="shared" si="151"/>
        <v>0</v>
      </c>
      <c r="CM37" s="21">
        <f t="shared" si="152"/>
        <v>0</v>
      </c>
      <c r="CN37" s="21">
        <f t="shared" si="153"/>
        <v>0</v>
      </c>
      <c r="CO37" s="21">
        <f t="shared" si="154"/>
        <v>0</v>
      </c>
      <c r="CP37" s="21">
        <f t="shared" si="155"/>
        <v>0</v>
      </c>
      <c r="CQ37" s="21">
        <f t="shared" si="156"/>
        <v>0</v>
      </c>
      <c r="CR37" s="21">
        <f t="shared" si="157"/>
        <v>0</v>
      </c>
      <c r="CS37" s="21">
        <f t="shared" si="158"/>
        <v>0</v>
      </c>
      <c r="CT37" s="21">
        <f t="shared" si="159"/>
        <v>0</v>
      </c>
      <c r="CU37" s="21">
        <f t="shared" si="160"/>
        <v>0</v>
      </c>
      <c r="CV37" s="21">
        <f t="shared" si="161"/>
        <v>0</v>
      </c>
      <c r="CW37" s="21">
        <f>$I37*$C$9*L37</f>
        <v>0</v>
      </c>
      <c r="CX37" s="21">
        <f t="shared" si="163"/>
        <v>50</v>
      </c>
      <c r="CY37" s="21">
        <f t="shared" si="164"/>
        <v>0</v>
      </c>
      <c r="CZ37" s="21">
        <f t="shared" si="165"/>
        <v>0</v>
      </c>
      <c r="DA37" s="21">
        <f t="shared" si="107"/>
        <v>0</v>
      </c>
      <c r="DB37" s="21">
        <f t="shared" si="107"/>
        <v>0</v>
      </c>
      <c r="DC37" s="21">
        <f t="shared" si="107"/>
        <v>0</v>
      </c>
      <c r="DD37" s="21">
        <f t="shared" si="107"/>
        <v>0</v>
      </c>
      <c r="DE37" s="21">
        <f t="shared" si="107"/>
        <v>0</v>
      </c>
      <c r="DF37" s="21">
        <f t="shared" si="166"/>
        <v>0</v>
      </c>
      <c r="DG37" s="21">
        <f t="shared" si="167"/>
        <v>0</v>
      </c>
      <c r="DH37" s="21">
        <f t="shared" si="168"/>
        <v>0</v>
      </c>
      <c r="DI37" s="21">
        <f t="shared" si="169"/>
        <v>0</v>
      </c>
      <c r="DJ37" s="21">
        <f t="shared" si="170"/>
        <v>0</v>
      </c>
      <c r="DK37" s="21">
        <f t="shared" si="171"/>
        <v>0</v>
      </c>
      <c r="DL37" s="21">
        <f t="shared" si="172"/>
        <v>0</v>
      </c>
      <c r="DM37" s="21">
        <f t="shared" si="173"/>
        <v>0</v>
      </c>
      <c r="DN37" s="21">
        <f t="shared" si="174"/>
        <v>0</v>
      </c>
      <c r="DO37" s="21">
        <f t="shared" si="175"/>
        <v>0</v>
      </c>
      <c r="DP37" s="21">
        <f t="shared" si="176"/>
        <v>0</v>
      </c>
      <c r="DQ37" s="21">
        <f t="shared" si="177"/>
        <v>0</v>
      </c>
      <c r="DR37" s="21">
        <f t="shared" si="178"/>
        <v>0</v>
      </c>
    </row>
    <row r="38" spans="2:122" s="732" customFormat="1" ht="13.8" thickBot="1" x14ac:dyDescent="0.3">
      <c r="B38" s="730" t="str">
        <f>'Gårdens info'!C87</f>
        <v>morotsupptagare</v>
      </c>
      <c r="C38" s="733"/>
      <c r="D38" s="734"/>
      <c r="E38" s="733">
        <f>'Gårdens info'!J87</f>
        <v>2018</v>
      </c>
      <c r="F38" s="730"/>
      <c r="G38" s="730"/>
      <c r="H38" s="735">
        <v>15</v>
      </c>
      <c r="I38" s="732">
        <f>'Gårdens info'!D87</f>
        <v>50000</v>
      </c>
      <c r="J38" s="735">
        <v>0</v>
      </c>
      <c r="K38" s="736">
        <v>0.03</v>
      </c>
      <c r="L38" s="737">
        <v>1</v>
      </c>
      <c r="M38" s="738">
        <v>0</v>
      </c>
      <c r="N38" s="738">
        <v>0</v>
      </c>
      <c r="O38" s="738">
        <v>0</v>
      </c>
      <c r="P38" s="738">
        <v>0</v>
      </c>
      <c r="Q38" s="738">
        <v>0</v>
      </c>
      <c r="R38" s="738">
        <v>0</v>
      </c>
      <c r="S38" s="738">
        <v>0</v>
      </c>
      <c r="T38" s="738">
        <v>0</v>
      </c>
      <c r="U38" s="738">
        <v>0</v>
      </c>
      <c r="V38" s="738">
        <v>0</v>
      </c>
      <c r="W38" s="738">
        <v>0</v>
      </c>
      <c r="X38" s="738">
        <v>0</v>
      </c>
      <c r="Y38" s="738">
        <v>0</v>
      </c>
      <c r="Z38" s="738">
        <v>0</v>
      </c>
      <c r="AA38" s="738">
        <v>0</v>
      </c>
      <c r="AB38" s="738">
        <v>0</v>
      </c>
      <c r="AC38" s="738">
        <v>0</v>
      </c>
      <c r="AD38" s="738">
        <v>0</v>
      </c>
      <c r="AE38" s="738">
        <v>0</v>
      </c>
      <c r="AF38" s="738">
        <v>0</v>
      </c>
      <c r="AG38" s="738">
        <v>0</v>
      </c>
      <c r="AH38" s="739">
        <f t="shared" si="110"/>
        <v>1</v>
      </c>
      <c r="AI38" s="21">
        <f t="shared" si="111"/>
        <v>3333.3333333333335</v>
      </c>
      <c r="AJ38" s="21">
        <f t="shared" si="112"/>
        <v>0</v>
      </c>
      <c r="AK38" s="21">
        <f t="shared" si="113"/>
        <v>0</v>
      </c>
      <c r="AL38" s="21">
        <f t="shared" si="114"/>
        <v>0</v>
      </c>
      <c r="AM38" s="21">
        <f t="shared" si="101"/>
        <v>0</v>
      </c>
      <c r="AN38" s="21">
        <f t="shared" si="101"/>
        <v>0</v>
      </c>
      <c r="AO38" s="21">
        <f t="shared" si="101"/>
        <v>0</v>
      </c>
      <c r="AP38" s="21">
        <f t="shared" si="101"/>
        <v>0</v>
      </c>
      <c r="AQ38" s="21">
        <f t="shared" si="101"/>
        <v>0</v>
      </c>
      <c r="AR38" s="21">
        <f t="shared" si="115"/>
        <v>0</v>
      </c>
      <c r="AS38" s="21">
        <f t="shared" si="116"/>
        <v>0</v>
      </c>
      <c r="AT38" s="21">
        <f t="shared" si="117"/>
        <v>0</v>
      </c>
      <c r="AU38" s="21">
        <f t="shared" si="118"/>
        <v>0</v>
      </c>
      <c r="AV38" s="21">
        <f t="shared" si="119"/>
        <v>0</v>
      </c>
      <c r="AW38" s="21">
        <f t="shared" si="120"/>
        <v>0</v>
      </c>
      <c r="AX38" s="21">
        <f t="shared" si="121"/>
        <v>0</v>
      </c>
      <c r="AY38" s="21">
        <f t="shared" si="122"/>
        <v>0</v>
      </c>
      <c r="AZ38" s="21">
        <f t="shared" si="123"/>
        <v>0</v>
      </c>
      <c r="BA38" s="21">
        <f t="shared" si="124"/>
        <v>0</v>
      </c>
      <c r="BB38" s="21">
        <f t="shared" si="125"/>
        <v>0</v>
      </c>
      <c r="BC38" s="21">
        <f t="shared" si="126"/>
        <v>0</v>
      </c>
      <c r="BD38" s="21">
        <f t="shared" si="127"/>
        <v>0</v>
      </c>
      <c r="BE38" s="36">
        <f t="shared" si="128"/>
        <v>1250</v>
      </c>
      <c r="BF38" s="21">
        <f t="shared" si="129"/>
        <v>0</v>
      </c>
      <c r="BG38" s="21">
        <f t="shared" si="130"/>
        <v>0</v>
      </c>
      <c r="BH38" s="21">
        <f t="shared" si="131"/>
        <v>0</v>
      </c>
      <c r="BI38" s="21">
        <f t="shared" si="103"/>
        <v>0</v>
      </c>
      <c r="BJ38" s="21">
        <f t="shared" si="103"/>
        <v>0</v>
      </c>
      <c r="BK38" s="21">
        <f t="shared" si="103"/>
        <v>0</v>
      </c>
      <c r="BL38" s="21">
        <f t="shared" si="103"/>
        <v>0</v>
      </c>
      <c r="BM38" s="21">
        <f t="shared" si="103"/>
        <v>0</v>
      </c>
      <c r="BN38" s="21">
        <f t="shared" si="132"/>
        <v>0</v>
      </c>
      <c r="BO38" s="21">
        <f t="shared" si="133"/>
        <v>0</v>
      </c>
      <c r="BP38" s="21">
        <f t="shared" si="134"/>
        <v>0</v>
      </c>
      <c r="BQ38" s="21">
        <f t="shared" si="135"/>
        <v>0</v>
      </c>
      <c r="BR38" s="21">
        <f t="shared" si="136"/>
        <v>0</v>
      </c>
      <c r="BS38" s="21">
        <f t="shared" si="137"/>
        <v>0</v>
      </c>
      <c r="BT38" s="21">
        <f t="shared" si="138"/>
        <v>0</v>
      </c>
      <c r="BU38" s="21">
        <f t="shared" si="139"/>
        <v>0</v>
      </c>
      <c r="BV38" s="21">
        <f t="shared" si="140"/>
        <v>0</v>
      </c>
      <c r="BW38" s="21">
        <f t="shared" si="141"/>
        <v>0</v>
      </c>
      <c r="BX38" s="21">
        <f t="shared" si="142"/>
        <v>0</v>
      </c>
      <c r="BY38" s="21">
        <f t="shared" si="143"/>
        <v>0</v>
      </c>
      <c r="BZ38" s="21">
        <f t="shared" si="144"/>
        <v>0</v>
      </c>
      <c r="CA38" s="21">
        <f>$I38*$K38*L38</f>
        <v>1500</v>
      </c>
      <c r="CB38" s="21">
        <f t="shared" si="146"/>
        <v>0</v>
      </c>
      <c r="CC38" s="21">
        <f t="shared" si="147"/>
        <v>0</v>
      </c>
      <c r="CD38" s="21">
        <f t="shared" si="148"/>
        <v>0</v>
      </c>
      <c r="CE38" s="21">
        <f t="shared" si="105"/>
        <v>0</v>
      </c>
      <c r="CF38" s="21">
        <f t="shared" si="105"/>
        <v>0</v>
      </c>
      <c r="CG38" s="21">
        <f t="shared" si="105"/>
        <v>0</v>
      </c>
      <c r="CH38" s="21">
        <f t="shared" si="105"/>
        <v>0</v>
      </c>
      <c r="CI38" s="21">
        <f t="shared" si="105"/>
        <v>0</v>
      </c>
      <c r="CJ38" s="21">
        <f t="shared" si="149"/>
        <v>0</v>
      </c>
      <c r="CK38" s="21">
        <f t="shared" si="150"/>
        <v>0</v>
      </c>
      <c r="CL38" s="21">
        <f t="shared" si="151"/>
        <v>0</v>
      </c>
      <c r="CM38" s="21">
        <f t="shared" si="152"/>
        <v>0</v>
      </c>
      <c r="CN38" s="21">
        <f t="shared" si="153"/>
        <v>0</v>
      </c>
      <c r="CO38" s="21">
        <f t="shared" si="154"/>
        <v>0</v>
      </c>
      <c r="CP38" s="21">
        <f t="shared" si="155"/>
        <v>0</v>
      </c>
      <c r="CQ38" s="21">
        <f t="shared" si="156"/>
        <v>0</v>
      </c>
      <c r="CR38" s="21">
        <f t="shared" si="157"/>
        <v>0</v>
      </c>
      <c r="CS38" s="21">
        <f t="shared" si="158"/>
        <v>0</v>
      </c>
      <c r="CT38" s="21">
        <f t="shared" si="159"/>
        <v>0</v>
      </c>
      <c r="CU38" s="21">
        <f t="shared" si="160"/>
        <v>0</v>
      </c>
      <c r="CV38" s="21">
        <f t="shared" si="161"/>
        <v>0</v>
      </c>
      <c r="CW38" s="21">
        <f>$I38*$C$9*L38</f>
        <v>100</v>
      </c>
      <c r="CX38" s="21">
        <f t="shared" si="163"/>
        <v>0</v>
      </c>
      <c r="CY38" s="21">
        <f t="shared" si="164"/>
        <v>0</v>
      </c>
      <c r="CZ38" s="21">
        <f t="shared" si="165"/>
        <v>0</v>
      </c>
      <c r="DA38" s="21">
        <f t="shared" si="107"/>
        <v>0</v>
      </c>
      <c r="DB38" s="21">
        <f t="shared" si="107"/>
        <v>0</v>
      </c>
      <c r="DC38" s="21">
        <f t="shared" si="107"/>
        <v>0</v>
      </c>
      <c r="DD38" s="21">
        <f t="shared" si="107"/>
        <v>0</v>
      </c>
      <c r="DE38" s="21">
        <f t="shared" si="107"/>
        <v>0</v>
      </c>
      <c r="DF38" s="21">
        <f t="shared" si="166"/>
        <v>0</v>
      </c>
      <c r="DG38" s="21">
        <f t="shared" si="167"/>
        <v>0</v>
      </c>
      <c r="DH38" s="21">
        <f t="shared" si="168"/>
        <v>0</v>
      </c>
      <c r="DI38" s="21">
        <f t="shared" si="169"/>
        <v>0</v>
      </c>
      <c r="DJ38" s="21">
        <f t="shared" si="170"/>
        <v>0</v>
      </c>
      <c r="DK38" s="21">
        <f t="shared" si="171"/>
        <v>0</v>
      </c>
      <c r="DL38" s="21">
        <f t="shared" si="172"/>
        <v>0</v>
      </c>
      <c r="DM38" s="21">
        <f t="shared" si="173"/>
        <v>0</v>
      </c>
      <c r="DN38" s="21">
        <f t="shared" si="174"/>
        <v>0</v>
      </c>
      <c r="DO38" s="21">
        <f t="shared" si="175"/>
        <v>0</v>
      </c>
      <c r="DP38" s="21">
        <f t="shared" si="176"/>
        <v>0</v>
      </c>
      <c r="DQ38" s="21">
        <f t="shared" si="177"/>
        <v>0</v>
      </c>
      <c r="DR38" s="21">
        <f t="shared" si="178"/>
        <v>0</v>
      </c>
    </row>
    <row r="39" spans="2:122" s="732" customFormat="1" ht="13.8" thickBot="1" x14ac:dyDescent="0.3">
      <c r="B39" s="730" t="str">
        <f>'Gårdens info'!C88</f>
        <v>lökupptagare</v>
      </c>
      <c r="C39" s="733"/>
      <c r="D39" s="734"/>
      <c r="E39" s="733">
        <f>'Gårdens info'!J88</f>
        <v>2016</v>
      </c>
      <c r="F39" s="730"/>
      <c r="G39" s="730"/>
      <c r="H39" s="735">
        <v>15</v>
      </c>
      <c r="I39" s="732">
        <f>'Gårdens info'!D88</f>
        <v>60000</v>
      </c>
      <c r="J39" s="735">
        <v>0</v>
      </c>
      <c r="K39" s="736">
        <v>0.03</v>
      </c>
      <c r="L39" s="737">
        <v>0</v>
      </c>
      <c r="M39" s="738">
        <v>0</v>
      </c>
      <c r="N39" s="738">
        <v>1</v>
      </c>
      <c r="O39" s="738">
        <v>0</v>
      </c>
      <c r="P39" s="738">
        <v>0</v>
      </c>
      <c r="Q39" s="738">
        <v>0</v>
      </c>
      <c r="R39" s="738">
        <v>0</v>
      </c>
      <c r="S39" s="738">
        <v>0</v>
      </c>
      <c r="T39" s="738">
        <v>0</v>
      </c>
      <c r="U39" s="738">
        <v>0</v>
      </c>
      <c r="V39" s="738">
        <v>0</v>
      </c>
      <c r="W39" s="738">
        <v>0</v>
      </c>
      <c r="X39" s="738">
        <v>0</v>
      </c>
      <c r="Y39" s="738">
        <v>0</v>
      </c>
      <c r="Z39" s="738">
        <v>0</v>
      </c>
      <c r="AA39" s="738">
        <v>0</v>
      </c>
      <c r="AB39" s="738">
        <v>0</v>
      </c>
      <c r="AC39" s="738">
        <v>0</v>
      </c>
      <c r="AD39" s="738">
        <v>0</v>
      </c>
      <c r="AE39" s="738">
        <v>0</v>
      </c>
      <c r="AF39" s="738">
        <v>0</v>
      </c>
      <c r="AG39" s="738">
        <v>0</v>
      </c>
      <c r="AH39" s="739">
        <f t="shared" si="110"/>
        <v>1</v>
      </c>
      <c r="AI39" s="21">
        <f t="shared" si="111"/>
        <v>0</v>
      </c>
      <c r="AJ39" s="21">
        <f t="shared" si="112"/>
        <v>0</v>
      </c>
      <c r="AK39" s="21">
        <f t="shared" si="113"/>
        <v>4000</v>
      </c>
      <c r="AL39" s="21">
        <f t="shared" si="114"/>
        <v>0</v>
      </c>
      <c r="AM39" s="21">
        <f t="shared" si="101"/>
        <v>0</v>
      </c>
      <c r="AN39" s="21">
        <f t="shared" si="101"/>
        <v>0</v>
      </c>
      <c r="AO39" s="21">
        <f t="shared" si="101"/>
        <v>0</v>
      </c>
      <c r="AP39" s="21">
        <f t="shared" si="101"/>
        <v>0</v>
      </c>
      <c r="AQ39" s="21">
        <f t="shared" si="101"/>
        <v>0</v>
      </c>
      <c r="AR39" s="21">
        <f t="shared" si="115"/>
        <v>0</v>
      </c>
      <c r="AS39" s="21">
        <f t="shared" si="116"/>
        <v>0</v>
      </c>
      <c r="AT39" s="21">
        <f t="shared" si="117"/>
        <v>0</v>
      </c>
      <c r="AU39" s="21">
        <f t="shared" si="118"/>
        <v>0</v>
      </c>
      <c r="AV39" s="21">
        <f t="shared" si="119"/>
        <v>0</v>
      </c>
      <c r="AW39" s="21">
        <f t="shared" si="120"/>
        <v>0</v>
      </c>
      <c r="AX39" s="21">
        <f t="shared" si="121"/>
        <v>0</v>
      </c>
      <c r="AY39" s="21">
        <f t="shared" si="122"/>
        <v>0</v>
      </c>
      <c r="AZ39" s="21">
        <f t="shared" si="123"/>
        <v>0</v>
      </c>
      <c r="BA39" s="21">
        <f t="shared" si="124"/>
        <v>0</v>
      </c>
      <c r="BB39" s="21">
        <f t="shared" si="125"/>
        <v>0</v>
      </c>
      <c r="BC39" s="21">
        <f t="shared" si="126"/>
        <v>0</v>
      </c>
      <c r="BD39" s="21">
        <f t="shared" si="127"/>
        <v>0</v>
      </c>
      <c r="BE39" s="36">
        <f t="shared" si="128"/>
        <v>0</v>
      </c>
      <c r="BF39" s="21">
        <f t="shared" si="129"/>
        <v>0</v>
      </c>
      <c r="BG39" s="21">
        <f t="shared" si="130"/>
        <v>1500</v>
      </c>
      <c r="BH39" s="21">
        <f t="shared" si="131"/>
        <v>0</v>
      </c>
      <c r="BI39" s="21">
        <f t="shared" si="103"/>
        <v>0</v>
      </c>
      <c r="BJ39" s="21">
        <f t="shared" si="103"/>
        <v>0</v>
      </c>
      <c r="BK39" s="21">
        <f t="shared" si="103"/>
        <v>0</v>
      </c>
      <c r="BL39" s="21">
        <f t="shared" si="103"/>
        <v>0</v>
      </c>
      <c r="BM39" s="21">
        <f t="shared" si="103"/>
        <v>0</v>
      </c>
      <c r="BN39" s="21">
        <f t="shared" si="132"/>
        <v>0</v>
      </c>
      <c r="BO39" s="21">
        <f t="shared" si="133"/>
        <v>0</v>
      </c>
      <c r="BP39" s="21">
        <f t="shared" si="134"/>
        <v>0</v>
      </c>
      <c r="BQ39" s="21">
        <f t="shared" si="135"/>
        <v>0</v>
      </c>
      <c r="BR39" s="21">
        <f t="shared" si="136"/>
        <v>0</v>
      </c>
      <c r="BS39" s="21">
        <f t="shared" si="137"/>
        <v>0</v>
      </c>
      <c r="BT39" s="21">
        <f t="shared" si="138"/>
        <v>0</v>
      </c>
      <c r="BU39" s="21">
        <f t="shared" si="139"/>
        <v>0</v>
      </c>
      <c r="BV39" s="21">
        <f t="shared" si="140"/>
        <v>0</v>
      </c>
      <c r="BW39" s="21">
        <f t="shared" si="141"/>
        <v>0</v>
      </c>
      <c r="BX39" s="21">
        <f t="shared" si="142"/>
        <v>0</v>
      </c>
      <c r="BY39" s="21">
        <f t="shared" si="143"/>
        <v>0</v>
      </c>
      <c r="BZ39" s="21">
        <f t="shared" si="144"/>
        <v>0</v>
      </c>
      <c r="CA39" s="21">
        <f>$I39*$K39*L39</f>
        <v>0</v>
      </c>
      <c r="CB39" s="21">
        <f t="shared" si="146"/>
        <v>0</v>
      </c>
      <c r="CC39" s="21">
        <f t="shared" si="147"/>
        <v>1800</v>
      </c>
      <c r="CD39" s="21">
        <f t="shared" si="148"/>
        <v>0</v>
      </c>
      <c r="CE39" s="21">
        <f t="shared" si="105"/>
        <v>0</v>
      </c>
      <c r="CF39" s="21">
        <f t="shared" si="105"/>
        <v>0</v>
      </c>
      <c r="CG39" s="21">
        <f t="shared" si="105"/>
        <v>0</v>
      </c>
      <c r="CH39" s="21">
        <f t="shared" si="105"/>
        <v>0</v>
      </c>
      <c r="CI39" s="21">
        <f t="shared" si="105"/>
        <v>0</v>
      </c>
      <c r="CJ39" s="21">
        <f t="shared" si="149"/>
        <v>0</v>
      </c>
      <c r="CK39" s="21">
        <f t="shared" si="150"/>
        <v>0</v>
      </c>
      <c r="CL39" s="21">
        <f t="shared" si="151"/>
        <v>0</v>
      </c>
      <c r="CM39" s="21">
        <f t="shared" si="152"/>
        <v>0</v>
      </c>
      <c r="CN39" s="21">
        <f t="shared" si="153"/>
        <v>0</v>
      </c>
      <c r="CO39" s="21">
        <f t="shared" si="154"/>
        <v>0</v>
      </c>
      <c r="CP39" s="21">
        <f t="shared" si="155"/>
        <v>0</v>
      </c>
      <c r="CQ39" s="21">
        <f t="shared" si="156"/>
        <v>0</v>
      </c>
      <c r="CR39" s="21">
        <f t="shared" si="157"/>
        <v>0</v>
      </c>
      <c r="CS39" s="21">
        <f t="shared" si="158"/>
        <v>0</v>
      </c>
      <c r="CT39" s="21">
        <f t="shared" si="159"/>
        <v>0</v>
      </c>
      <c r="CU39" s="21">
        <f t="shared" si="160"/>
        <v>0</v>
      </c>
      <c r="CV39" s="21">
        <f t="shared" si="161"/>
        <v>0</v>
      </c>
      <c r="CW39" s="21">
        <f>$I39*$C$9*L39</f>
        <v>0</v>
      </c>
      <c r="CX39" s="21">
        <f t="shared" si="163"/>
        <v>0</v>
      </c>
      <c r="CY39" s="21">
        <f t="shared" si="164"/>
        <v>120</v>
      </c>
      <c r="CZ39" s="21">
        <f t="shared" si="165"/>
        <v>0</v>
      </c>
      <c r="DA39" s="21">
        <f t="shared" si="107"/>
        <v>0</v>
      </c>
      <c r="DB39" s="21">
        <f t="shared" si="107"/>
        <v>0</v>
      </c>
      <c r="DC39" s="21">
        <f t="shared" si="107"/>
        <v>0</v>
      </c>
      <c r="DD39" s="21">
        <f t="shared" si="107"/>
        <v>0</v>
      </c>
      <c r="DE39" s="21">
        <f t="shared" si="107"/>
        <v>0</v>
      </c>
      <c r="DF39" s="21">
        <f t="shared" si="166"/>
        <v>0</v>
      </c>
      <c r="DG39" s="21">
        <f t="shared" si="167"/>
        <v>0</v>
      </c>
      <c r="DH39" s="21">
        <f t="shared" si="168"/>
        <v>0</v>
      </c>
      <c r="DI39" s="21">
        <f t="shared" si="169"/>
        <v>0</v>
      </c>
      <c r="DJ39" s="21">
        <f t="shared" si="170"/>
        <v>0</v>
      </c>
      <c r="DK39" s="21">
        <f t="shared" si="171"/>
        <v>0</v>
      </c>
      <c r="DL39" s="21">
        <f t="shared" si="172"/>
        <v>0</v>
      </c>
      <c r="DM39" s="21">
        <f t="shared" si="173"/>
        <v>0</v>
      </c>
      <c r="DN39" s="21">
        <f t="shared" si="174"/>
        <v>0</v>
      </c>
      <c r="DO39" s="21">
        <f t="shared" si="175"/>
        <v>0</v>
      </c>
      <c r="DP39" s="21">
        <f t="shared" si="176"/>
        <v>0</v>
      </c>
      <c r="DQ39" s="21">
        <f t="shared" si="177"/>
        <v>0</v>
      </c>
      <c r="DR39" s="21">
        <f t="shared" si="178"/>
        <v>0</v>
      </c>
    </row>
    <row r="40" spans="2:122" ht="13.8" thickBot="1" x14ac:dyDescent="0.3">
      <c r="B40" s="49" t="str">
        <f>'Gårdens info'!C89</f>
        <v>gödselspridare</v>
      </c>
      <c r="C40" s="360"/>
      <c r="D40" s="515"/>
      <c r="E40" s="360">
        <f>'Gårdens info'!J89</f>
        <v>2013</v>
      </c>
      <c r="F40" s="508"/>
      <c r="G40" s="508"/>
      <c r="H40" s="506">
        <v>15</v>
      </c>
      <c r="I40">
        <f>'Gårdens info'!D89</f>
        <v>2500</v>
      </c>
      <c r="J40" s="506">
        <f t="shared" si="109"/>
        <v>0</v>
      </c>
      <c r="K40" s="507">
        <v>0.03</v>
      </c>
      <c r="L40" s="498">
        <f>'Gårdens info'!$D$10/('Gårdens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M40" s="498">
        <f>'Gårdens info'!$D$11/('Gårdens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N40" s="498">
        <f>'Gårdens info'!$D$12/('Gårdens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O40" s="498">
        <f>'Gårdens info'!$D$13/('Gårdens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P40" s="498">
        <f>'Gårdens info'!$D$14/('Gårdens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Q40" s="498">
        <f>'Gårdens info'!$D$15/('Gårdens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R40" s="498">
        <f>'Gårdens info'!$D$16/('Gårdens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S40" s="498">
        <f>'Gårdens info'!$D$17/('Gårdens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T40" s="498">
        <f>'Gårdens info'!$D$18/('Gårdens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U40" s="498">
        <f>'Gårdens info'!$D$22/('Gårdens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0.18518518518518517</v>
      </c>
      <c r="V40" s="498">
        <f>'Gårdens info'!$D$23/('Gårdens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W40" s="498">
        <f>'Gårdens info'!$D$24/('Gårdens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0.14814814814814814</v>
      </c>
      <c r="X40" s="498">
        <f>'Gårdens info'!$D$25/('Gårdens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Y40" s="498">
        <f>'Gårdens info'!$D$26/('Gårdens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0.18518518518518517</v>
      </c>
      <c r="Z40" s="498">
        <f>'Gårdens info'!$D$27/('Gårdens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AA40" s="498">
        <f>'Gårdens info'!$D$28/('Gårdens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0.1111111111111111</v>
      </c>
      <c r="AB40" s="498">
        <f>'Gårdens info'!$D$31/('Gårdens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0.1111111111111111</v>
      </c>
      <c r="AC40" s="498">
        <f>'Gårdens info'!$D$32/('Gårdens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AD40" s="498">
        <f>'Gårdens info'!$D$33/('Gårdens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AE40" s="498">
        <f>'Gårdens info'!$D$34/('Gårdens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AF40" s="498">
        <f>'Gårdens info'!$D$35/('Gårdens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AG40" s="498">
        <f>'Gårdens info'!$D$36/('Gårdens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AH40" s="500">
        <f t="shared" si="110"/>
        <v>1</v>
      </c>
      <c r="AI40" s="21">
        <f t="shared" si="111"/>
        <v>6.1728395061728385</v>
      </c>
      <c r="AJ40" s="21">
        <f t="shared" si="112"/>
        <v>6.1728395061728385</v>
      </c>
      <c r="AK40" s="21">
        <f t="shared" si="113"/>
        <v>6.1728395061728385</v>
      </c>
      <c r="AL40" s="21">
        <f t="shared" si="114"/>
        <v>6.1728395061728385</v>
      </c>
      <c r="AM40" s="21">
        <f t="shared" si="101"/>
        <v>0</v>
      </c>
      <c r="AN40" s="21">
        <f t="shared" si="101"/>
        <v>0</v>
      </c>
      <c r="AO40" s="21">
        <f t="shared" si="101"/>
        <v>0</v>
      </c>
      <c r="AP40" s="21">
        <f t="shared" si="101"/>
        <v>0</v>
      </c>
      <c r="AQ40" s="21">
        <f t="shared" si="101"/>
        <v>0</v>
      </c>
      <c r="AR40" s="21">
        <f t="shared" si="115"/>
        <v>30.864197530864192</v>
      </c>
      <c r="AS40" s="21">
        <f t="shared" si="116"/>
        <v>6.1728395061728385</v>
      </c>
      <c r="AT40" s="21">
        <f t="shared" si="117"/>
        <v>24.691358024691354</v>
      </c>
      <c r="AU40" s="21">
        <f t="shared" si="118"/>
        <v>6.1728395061728385</v>
      </c>
      <c r="AV40" s="21">
        <f t="shared" si="119"/>
        <v>30.864197530864192</v>
      </c>
      <c r="AW40" s="21">
        <f t="shared" si="120"/>
        <v>6.1728395061728385</v>
      </c>
      <c r="AX40" s="21">
        <f t="shared" si="121"/>
        <v>18.518518518518515</v>
      </c>
      <c r="AY40" s="21">
        <f t="shared" si="122"/>
        <v>18.518518518518515</v>
      </c>
      <c r="AZ40" s="21">
        <f t="shared" si="123"/>
        <v>0</v>
      </c>
      <c r="BA40" s="21">
        <f t="shared" si="124"/>
        <v>0</v>
      </c>
      <c r="BB40" s="21">
        <f t="shared" si="125"/>
        <v>0</v>
      </c>
      <c r="BC40" s="21">
        <f t="shared" si="126"/>
        <v>0</v>
      </c>
      <c r="BD40" s="21">
        <f t="shared" si="127"/>
        <v>0</v>
      </c>
      <c r="BE40" s="36">
        <f t="shared" si="128"/>
        <v>2.3148148148148149</v>
      </c>
      <c r="BF40" s="21">
        <f t="shared" si="129"/>
        <v>2.3148148148148149</v>
      </c>
      <c r="BG40" s="21">
        <f t="shared" si="130"/>
        <v>2.3148148148148149</v>
      </c>
      <c r="BH40" s="21">
        <f t="shared" si="131"/>
        <v>2.3148148148148149</v>
      </c>
      <c r="BI40" s="21">
        <f t="shared" si="103"/>
        <v>0</v>
      </c>
      <c r="BJ40" s="21">
        <f t="shared" si="103"/>
        <v>0</v>
      </c>
      <c r="BK40" s="21">
        <f t="shared" si="103"/>
        <v>0</v>
      </c>
      <c r="BL40" s="21">
        <f t="shared" si="103"/>
        <v>0</v>
      </c>
      <c r="BM40" s="21">
        <f t="shared" si="103"/>
        <v>0</v>
      </c>
      <c r="BN40" s="21">
        <f t="shared" si="132"/>
        <v>11.574074074074073</v>
      </c>
      <c r="BO40" s="21">
        <f t="shared" si="133"/>
        <v>2.3148148148148149</v>
      </c>
      <c r="BP40" s="21">
        <f t="shared" si="134"/>
        <v>9.2592592592592595</v>
      </c>
      <c r="BQ40" s="21">
        <f t="shared" si="135"/>
        <v>2.3148148148148149</v>
      </c>
      <c r="BR40" s="21">
        <f t="shared" si="136"/>
        <v>11.574074074074073</v>
      </c>
      <c r="BS40" s="21">
        <f t="shared" si="137"/>
        <v>2.3148148148148149</v>
      </c>
      <c r="BT40" s="21">
        <f t="shared" si="138"/>
        <v>6.9444444444444438</v>
      </c>
      <c r="BU40" s="21">
        <f t="shared" si="139"/>
        <v>6.9444444444444438</v>
      </c>
      <c r="BV40" s="21">
        <f t="shared" si="140"/>
        <v>0</v>
      </c>
      <c r="BW40" s="21">
        <f t="shared" si="141"/>
        <v>0</v>
      </c>
      <c r="BX40" s="21">
        <f t="shared" si="142"/>
        <v>0</v>
      </c>
      <c r="BY40" s="21">
        <f t="shared" si="143"/>
        <v>0</v>
      </c>
      <c r="BZ40" s="21">
        <f t="shared" si="144"/>
        <v>0</v>
      </c>
      <c r="CA40" s="36">
        <f t="shared" si="145"/>
        <v>2.7777777777777777</v>
      </c>
      <c r="CB40" s="21">
        <f t="shared" si="146"/>
        <v>2.7777777777777777</v>
      </c>
      <c r="CC40" s="21">
        <f t="shared" si="147"/>
        <v>2.7777777777777777</v>
      </c>
      <c r="CD40" s="21">
        <f t="shared" si="148"/>
        <v>2.7777777777777777</v>
      </c>
      <c r="CE40" s="21">
        <f t="shared" si="105"/>
        <v>0</v>
      </c>
      <c r="CF40" s="21">
        <f t="shared" si="105"/>
        <v>0</v>
      </c>
      <c r="CG40" s="21">
        <f t="shared" si="105"/>
        <v>0</v>
      </c>
      <c r="CH40" s="21">
        <f t="shared" si="105"/>
        <v>0</v>
      </c>
      <c r="CI40" s="21">
        <f t="shared" si="105"/>
        <v>0</v>
      </c>
      <c r="CJ40" s="21">
        <f t="shared" si="149"/>
        <v>13.888888888888888</v>
      </c>
      <c r="CK40" s="21">
        <f t="shared" si="150"/>
        <v>2.7777777777777777</v>
      </c>
      <c r="CL40" s="21">
        <f t="shared" si="151"/>
        <v>11.111111111111111</v>
      </c>
      <c r="CM40" s="21">
        <f t="shared" si="152"/>
        <v>2.7777777777777777</v>
      </c>
      <c r="CN40" s="21">
        <f t="shared" si="153"/>
        <v>13.888888888888888</v>
      </c>
      <c r="CO40" s="21">
        <f t="shared" si="154"/>
        <v>2.7777777777777777</v>
      </c>
      <c r="CP40" s="21">
        <f t="shared" si="155"/>
        <v>8.3333333333333321</v>
      </c>
      <c r="CQ40" s="21">
        <f t="shared" si="156"/>
        <v>8.3333333333333321</v>
      </c>
      <c r="CR40" s="21">
        <f t="shared" si="157"/>
        <v>0</v>
      </c>
      <c r="CS40" s="21">
        <f t="shared" si="158"/>
        <v>0</v>
      </c>
      <c r="CT40" s="21">
        <f t="shared" si="159"/>
        <v>0</v>
      </c>
      <c r="CU40" s="21">
        <f t="shared" si="160"/>
        <v>0</v>
      </c>
      <c r="CV40" s="21">
        <f t="shared" si="161"/>
        <v>0</v>
      </c>
      <c r="CW40" s="36">
        <f t="shared" si="162"/>
        <v>0.18518518518518517</v>
      </c>
      <c r="CX40" s="21">
        <f t="shared" si="163"/>
        <v>0.18518518518518517</v>
      </c>
      <c r="CY40" s="21">
        <f t="shared" si="164"/>
        <v>0.18518518518518517</v>
      </c>
      <c r="CZ40" s="21">
        <f t="shared" si="165"/>
        <v>0.18518518518518517</v>
      </c>
      <c r="DA40" s="21">
        <f t="shared" si="107"/>
        <v>0</v>
      </c>
      <c r="DB40" s="21">
        <f t="shared" si="107"/>
        <v>0</v>
      </c>
      <c r="DC40" s="21">
        <f t="shared" si="107"/>
        <v>0</v>
      </c>
      <c r="DD40" s="21">
        <f t="shared" si="107"/>
        <v>0</v>
      </c>
      <c r="DE40" s="21">
        <f t="shared" si="107"/>
        <v>0</v>
      </c>
      <c r="DF40" s="21">
        <f t="shared" si="166"/>
        <v>0.92592592592592582</v>
      </c>
      <c r="DG40" s="21">
        <f t="shared" si="167"/>
        <v>0.18518518518518517</v>
      </c>
      <c r="DH40" s="21">
        <f t="shared" si="168"/>
        <v>0.7407407407407407</v>
      </c>
      <c r="DI40" s="21">
        <f t="shared" si="169"/>
        <v>0.18518518518518517</v>
      </c>
      <c r="DJ40" s="21">
        <f t="shared" si="170"/>
        <v>0.92592592592592582</v>
      </c>
      <c r="DK40" s="21">
        <f t="shared" si="171"/>
        <v>0.18518518518518517</v>
      </c>
      <c r="DL40" s="21">
        <f t="shared" si="172"/>
        <v>0.55555555555555558</v>
      </c>
      <c r="DM40" s="21">
        <f t="shared" si="173"/>
        <v>0.55555555555555558</v>
      </c>
      <c r="DN40" s="21">
        <f t="shared" si="174"/>
        <v>0</v>
      </c>
      <c r="DO40" s="21">
        <f t="shared" si="175"/>
        <v>0</v>
      </c>
      <c r="DP40" s="21">
        <f t="shared" si="176"/>
        <v>0</v>
      </c>
      <c r="DQ40" s="21">
        <f t="shared" si="177"/>
        <v>0</v>
      </c>
      <c r="DR40" s="37">
        <f t="shared" si="178"/>
        <v>0</v>
      </c>
    </row>
    <row r="41" spans="2:122" ht="13.8" thickBot="1" x14ac:dyDescent="0.3">
      <c r="B41" s="49" t="str">
        <f>'Gårdens info'!C90</f>
        <v>plastläggningsmaskin</v>
      </c>
      <c r="C41" s="360"/>
      <c r="D41" s="515"/>
      <c r="E41" s="360">
        <f>'Gårdens info'!J90</f>
        <v>2012</v>
      </c>
      <c r="F41" s="508"/>
      <c r="G41" s="508"/>
      <c r="H41" s="506">
        <v>15</v>
      </c>
      <c r="I41">
        <f>'Gårdens info'!D90</f>
        <v>7600</v>
      </c>
      <c r="J41" s="506">
        <f t="shared" si="109"/>
        <v>0</v>
      </c>
      <c r="K41" s="507">
        <v>0.03</v>
      </c>
      <c r="L41" s="498">
        <f>'Gårdens info'!$D$10/('Gårdens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M41" s="498">
        <f>'Gårdens info'!$D$11/('Gårdens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N41" s="498">
        <f>'Gårdens info'!$D$12/('Gårdens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O41" s="498">
        <f>'Gårdens info'!$D$13/('Gårdens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P41" s="498">
        <f>'Gårdens info'!$D$14/('Gårdens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Q41" s="498">
        <f>'Gårdens info'!$D$15/('Gårdens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R41" s="498">
        <f>'Gårdens info'!$D$16/('Gårdens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S41" s="498">
        <f>'Gårdens info'!$D$17/('Gårdens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T41" s="498">
        <f>'Gårdens info'!$D$18/('Gårdens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U41" s="498">
        <f>'Gårdens info'!$D$22/('Gårdens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0.18518518518518517</v>
      </c>
      <c r="V41" s="498">
        <f>'Gårdens info'!$D$23/('Gårdens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W41" s="498">
        <f>'Gårdens info'!$D$24/('Gårdens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0.14814814814814814</v>
      </c>
      <c r="X41" s="498">
        <f>'Gårdens info'!$D$25/('Gårdens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Y41" s="498">
        <f>'Gårdens info'!$D$26/('Gårdens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0.18518518518518517</v>
      </c>
      <c r="Z41" s="498">
        <f>'Gårdens info'!$D$27/('Gårdens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AA41" s="498">
        <f>'Gårdens info'!$D$28/('Gårdens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0.1111111111111111</v>
      </c>
      <c r="AB41" s="498">
        <f>'Gårdens info'!$D$31/('Gårdens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0.1111111111111111</v>
      </c>
      <c r="AC41" s="498">
        <f>'Gårdens info'!$D$32/('Gårdens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AD41" s="498">
        <f>'Gårdens info'!$D$33/('Gårdens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AE41" s="498">
        <f>'Gårdens info'!$D$34/('Gårdens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AF41" s="498">
        <f>'Gårdens info'!$D$35/('Gårdens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AG41" s="498">
        <f>'Gårdens info'!$D$36/('Gårdens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AH41" s="500">
        <f t="shared" si="110"/>
        <v>1</v>
      </c>
      <c r="AI41" s="21">
        <f t="shared" si="111"/>
        <v>18.76543209876543</v>
      </c>
      <c r="AJ41" s="21">
        <f t="shared" si="112"/>
        <v>18.76543209876543</v>
      </c>
      <c r="AK41" s="21">
        <f t="shared" si="113"/>
        <v>18.76543209876543</v>
      </c>
      <c r="AL41" s="21">
        <f t="shared" si="114"/>
        <v>18.76543209876543</v>
      </c>
      <c r="AM41" s="21">
        <f t="shared" si="101"/>
        <v>0</v>
      </c>
      <c r="AN41" s="21">
        <f t="shared" si="101"/>
        <v>0</v>
      </c>
      <c r="AO41" s="21">
        <f t="shared" si="101"/>
        <v>0</v>
      </c>
      <c r="AP41" s="21">
        <f t="shared" si="101"/>
        <v>0</v>
      </c>
      <c r="AQ41" s="21">
        <f t="shared" si="101"/>
        <v>0</v>
      </c>
      <c r="AR41" s="21">
        <f t="shared" si="115"/>
        <v>93.827160493827165</v>
      </c>
      <c r="AS41" s="21">
        <f t="shared" si="116"/>
        <v>18.76543209876543</v>
      </c>
      <c r="AT41" s="21">
        <f t="shared" si="117"/>
        <v>75.061728395061721</v>
      </c>
      <c r="AU41" s="21">
        <f t="shared" si="118"/>
        <v>18.76543209876543</v>
      </c>
      <c r="AV41" s="21">
        <f t="shared" si="119"/>
        <v>93.827160493827165</v>
      </c>
      <c r="AW41" s="21">
        <f t="shared" si="120"/>
        <v>18.76543209876543</v>
      </c>
      <c r="AX41" s="21">
        <f t="shared" si="121"/>
        <v>56.296296296296298</v>
      </c>
      <c r="AY41" s="21">
        <f t="shared" si="122"/>
        <v>56.296296296296298</v>
      </c>
      <c r="AZ41" s="21">
        <f t="shared" si="123"/>
        <v>0</v>
      </c>
      <c r="BA41" s="21">
        <f t="shared" si="124"/>
        <v>0</v>
      </c>
      <c r="BB41" s="21">
        <f t="shared" si="125"/>
        <v>0</v>
      </c>
      <c r="BC41" s="21">
        <f t="shared" si="126"/>
        <v>0</v>
      </c>
      <c r="BD41" s="21">
        <f t="shared" si="127"/>
        <v>0</v>
      </c>
      <c r="BE41" s="36">
        <f t="shared" si="128"/>
        <v>7.0370370370370363</v>
      </c>
      <c r="BF41" s="21">
        <f t="shared" si="129"/>
        <v>7.0370370370370363</v>
      </c>
      <c r="BG41" s="21">
        <f t="shared" si="130"/>
        <v>7.0370370370370363</v>
      </c>
      <c r="BH41" s="21">
        <f t="shared" si="131"/>
        <v>7.0370370370370363</v>
      </c>
      <c r="BI41" s="21">
        <f t="shared" si="103"/>
        <v>0</v>
      </c>
      <c r="BJ41" s="21">
        <f t="shared" si="103"/>
        <v>0</v>
      </c>
      <c r="BK41" s="21">
        <f t="shared" si="103"/>
        <v>0</v>
      </c>
      <c r="BL41" s="21">
        <f t="shared" si="103"/>
        <v>0</v>
      </c>
      <c r="BM41" s="21">
        <f t="shared" si="103"/>
        <v>0</v>
      </c>
      <c r="BN41" s="21">
        <f t="shared" si="132"/>
        <v>35.185185185185183</v>
      </c>
      <c r="BO41" s="21">
        <f t="shared" si="133"/>
        <v>7.0370370370370363</v>
      </c>
      <c r="BP41" s="21">
        <f t="shared" si="134"/>
        <v>28.148148148148145</v>
      </c>
      <c r="BQ41" s="21">
        <f t="shared" si="135"/>
        <v>7.0370370370370363</v>
      </c>
      <c r="BR41" s="21">
        <f t="shared" si="136"/>
        <v>35.185185185185183</v>
      </c>
      <c r="BS41" s="21">
        <f t="shared" si="137"/>
        <v>7.0370370370370363</v>
      </c>
      <c r="BT41" s="21">
        <f t="shared" si="138"/>
        <v>21.111111111111111</v>
      </c>
      <c r="BU41" s="21">
        <f t="shared" si="139"/>
        <v>21.111111111111111</v>
      </c>
      <c r="BV41" s="21">
        <f t="shared" si="140"/>
        <v>0</v>
      </c>
      <c r="BW41" s="21">
        <f t="shared" si="141"/>
        <v>0</v>
      </c>
      <c r="BX41" s="21">
        <f t="shared" si="142"/>
        <v>0</v>
      </c>
      <c r="BY41" s="21">
        <f t="shared" si="143"/>
        <v>0</v>
      </c>
      <c r="BZ41" s="21">
        <f t="shared" si="144"/>
        <v>0</v>
      </c>
      <c r="CA41" s="36">
        <f t="shared" si="145"/>
        <v>8.4444444444444446</v>
      </c>
      <c r="CB41" s="21">
        <f t="shared" si="146"/>
        <v>8.4444444444444446</v>
      </c>
      <c r="CC41" s="21">
        <f t="shared" si="147"/>
        <v>8.4444444444444446</v>
      </c>
      <c r="CD41" s="21">
        <f t="shared" si="148"/>
        <v>8.4444444444444446</v>
      </c>
      <c r="CE41" s="21">
        <f t="shared" si="105"/>
        <v>0</v>
      </c>
      <c r="CF41" s="21">
        <f t="shared" si="105"/>
        <v>0</v>
      </c>
      <c r="CG41" s="21">
        <f t="shared" si="105"/>
        <v>0</v>
      </c>
      <c r="CH41" s="21">
        <f t="shared" si="105"/>
        <v>0</v>
      </c>
      <c r="CI41" s="21">
        <f t="shared" si="105"/>
        <v>0</v>
      </c>
      <c r="CJ41" s="21">
        <f t="shared" si="149"/>
        <v>42.222222222222221</v>
      </c>
      <c r="CK41" s="21">
        <f t="shared" si="150"/>
        <v>8.4444444444444446</v>
      </c>
      <c r="CL41" s="21">
        <f t="shared" si="151"/>
        <v>33.777777777777779</v>
      </c>
      <c r="CM41" s="21">
        <f t="shared" si="152"/>
        <v>8.4444444444444446</v>
      </c>
      <c r="CN41" s="21">
        <f t="shared" si="153"/>
        <v>42.222222222222221</v>
      </c>
      <c r="CO41" s="21">
        <f t="shared" si="154"/>
        <v>8.4444444444444446</v>
      </c>
      <c r="CP41" s="21">
        <f t="shared" si="155"/>
        <v>25.333333333333332</v>
      </c>
      <c r="CQ41" s="21">
        <f t="shared" si="156"/>
        <v>25.333333333333332</v>
      </c>
      <c r="CR41" s="21">
        <f t="shared" si="157"/>
        <v>0</v>
      </c>
      <c r="CS41" s="21">
        <f t="shared" si="158"/>
        <v>0</v>
      </c>
      <c r="CT41" s="21">
        <f t="shared" si="159"/>
        <v>0</v>
      </c>
      <c r="CU41" s="21">
        <f t="shared" si="160"/>
        <v>0</v>
      </c>
      <c r="CV41" s="21">
        <f t="shared" si="161"/>
        <v>0</v>
      </c>
      <c r="CW41" s="36">
        <f t="shared" si="162"/>
        <v>0.562962962962963</v>
      </c>
      <c r="CX41" s="21">
        <f t="shared" si="163"/>
        <v>0.562962962962963</v>
      </c>
      <c r="CY41" s="21">
        <f t="shared" si="164"/>
        <v>0.562962962962963</v>
      </c>
      <c r="CZ41" s="21">
        <f t="shared" si="165"/>
        <v>0.562962962962963</v>
      </c>
      <c r="DA41" s="21">
        <f t="shared" si="107"/>
        <v>0</v>
      </c>
      <c r="DB41" s="21">
        <f t="shared" si="107"/>
        <v>0</v>
      </c>
      <c r="DC41" s="21">
        <f t="shared" si="107"/>
        <v>0</v>
      </c>
      <c r="DD41" s="21">
        <f t="shared" si="107"/>
        <v>0</v>
      </c>
      <c r="DE41" s="21">
        <f t="shared" si="107"/>
        <v>0</v>
      </c>
      <c r="DF41" s="21">
        <f t="shared" si="166"/>
        <v>2.8148148148148149</v>
      </c>
      <c r="DG41" s="21">
        <f t="shared" si="167"/>
        <v>0.562962962962963</v>
      </c>
      <c r="DH41" s="21">
        <f t="shared" si="168"/>
        <v>2.251851851851852</v>
      </c>
      <c r="DI41" s="21">
        <f t="shared" si="169"/>
        <v>0.562962962962963</v>
      </c>
      <c r="DJ41" s="21">
        <f t="shared" si="170"/>
        <v>2.8148148148148149</v>
      </c>
      <c r="DK41" s="21">
        <f t="shared" si="171"/>
        <v>0.562962962962963</v>
      </c>
      <c r="DL41" s="21">
        <f t="shared" si="172"/>
        <v>1.6888888888888889</v>
      </c>
      <c r="DM41" s="21">
        <f t="shared" si="173"/>
        <v>1.6888888888888889</v>
      </c>
      <c r="DN41" s="21">
        <f t="shared" si="174"/>
        <v>0</v>
      </c>
      <c r="DO41" s="21">
        <f t="shared" si="175"/>
        <v>0</v>
      </c>
      <c r="DP41" s="21">
        <f t="shared" si="176"/>
        <v>0</v>
      </c>
      <c r="DQ41" s="21">
        <f t="shared" si="177"/>
        <v>0</v>
      </c>
      <c r="DR41" s="37">
        <f t="shared" si="178"/>
        <v>0</v>
      </c>
    </row>
    <row r="42" spans="2:122" ht="13.8" thickBot="1" x14ac:dyDescent="0.3">
      <c r="B42" s="49" t="str">
        <f>'Gårdens info'!C91</f>
        <v>paketbil</v>
      </c>
      <c r="C42" s="360"/>
      <c r="D42" s="515"/>
      <c r="E42" s="360">
        <f>'Gårdens info'!J91</f>
        <v>2005</v>
      </c>
      <c r="F42" s="508"/>
      <c r="G42" s="508"/>
      <c r="H42" s="506">
        <v>15</v>
      </c>
      <c r="I42">
        <f>'Gårdens info'!D91</f>
        <v>15000</v>
      </c>
      <c r="J42" s="506">
        <f t="shared" si="109"/>
        <v>0</v>
      </c>
      <c r="K42" s="507">
        <v>0.03</v>
      </c>
      <c r="L42" s="498">
        <f>'Gårdens info'!$D$10/('Gårdens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M42" s="498">
        <f>'Gårdens info'!$D$11/('Gårdens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N42" s="498">
        <f>'Gårdens info'!$D$12/('Gårdens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O42" s="498">
        <f>'Gårdens info'!$D$13/('Gårdens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P42" s="498">
        <f>'Gårdens info'!$D$14/('Gårdens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Q42" s="498">
        <f>'Gårdens info'!$D$15/('Gårdens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R42" s="498">
        <f>'Gårdens info'!$D$16/('Gårdens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S42" s="498">
        <f>'Gårdens info'!$D$17/('Gårdens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T42" s="498">
        <f>'Gårdens info'!$D$18/('Gårdens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U42" s="498">
        <f>'Gårdens info'!$D$22/('Gårdens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0.18518518518518517</v>
      </c>
      <c r="V42" s="498">
        <f>'Gårdens info'!$D$23/('Gårdens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W42" s="498">
        <f>'Gårdens info'!$D$24/('Gårdens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0.14814814814814814</v>
      </c>
      <c r="X42" s="498">
        <f>'Gårdens info'!$D$25/('Gårdens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Y42" s="498">
        <f>'Gårdens info'!$D$26/('Gårdens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0.18518518518518517</v>
      </c>
      <c r="Z42" s="498">
        <f>'Gårdens info'!$D$27/('Gårdens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AA42" s="498">
        <f>'Gårdens info'!$D$28/('Gårdens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0.1111111111111111</v>
      </c>
      <c r="AB42" s="498">
        <f>'Gårdens info'!$D$31/('Gårdens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0.1111111111111111</v>
      </c>
      <c r="AC42" s="498">
        <f>'Gårdens info'!$D$32/('Gårdens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AD42" s="498">
        <f>'Gårdens info'!$D$33/('Gårdens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AE42" s="498">
        <f>'Gårdens info'!$D$34/('Gårdens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AF42" s="498">
        <f>'Gårdens info'!$D$35/('Gårdens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AG42" s="498">
        <f>'Gårdens info'!$D$36/('Gårdens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AH42" s="500">
        <f t="shared" si="110"/>
        <v>1</v>
      </c>
      <c r="AI42" s="21">
        <f t="shared" si="111"/>
        <v>0</v>
      </c>
      <c r="AJ42" s="21">
        <f t="shared" si="112"/>
        <v>0</v>
      </c>
      <c r="AK42" s="21">
        <f t="shared" si="113"/>
        <v>0</v>
      </c>
      <c r="AL42" s="21">
        <f t="shared" si="114"/>
        <v>0</v>
      </c>
      <c r="AM42" s="21">
        <f t="shared" si="101"/>
        <v>0</v>
      </c>
      <c r="AN42" s="21">
        <f t="shared" si="101"/>
        <v>0</v>
      </c>
      <c r="AO42" s="21">
        <f t="shared" si="101"/>
        <v>0</v>
      </c>
      <c r="AP42" s="21">
        <f t="shared" si="101"/>
        <v>0</v>
      </c>
      <c r="AQ42" s="21">
        <f t="shared" si="101"/>
        <v>0</v>
      </c>
      <c r="AR42" s="21">
        <f t="shared" si="115"/>
        <v>0</v>
      </c>
      <c r="AS42" s="21">
        <f t="shared" si="116"/>
        <v>0</v>
      </c>
      <c r="AT42" s="21">
        <f t="shared" si="117"/>
        <v>0</v>
      </c>
      <c r="AU42" s="21">
        <f t="shared" si="118"/>
        <v>0</v>
      </c>
      <c r="AV42" s="21">
        <f t="shared" si="119"/>
        <v>0</v>
      </c>
      <c r="AW42" s="21">
        <f t="shared" si="120"/>
        <v>0</v>
      </c>
      <c r="AX42" s="21">
        <f t="shared" si="121"/>
        <v>0</v>
      </c>
      <c r="AY42" s="21">
        <f t="shared" si="122"/>
        <v>0</v>
      </c>
      <c r="AZ42" s="21">
        <f t="shared" si="123"/>
        <v>0</v>
      </c>
      <c r="BA42" s="21">
        <f t="shared" si="124"/>
        <v>0</v>
      </c>
      <c r="BB42" s="21">
        <f t="shared" si="125"/>
        <v>0</v>
      </c>
      <c r="BC42" s="21">
        <f t="shared" si="126"/>
        <v>0</v>
      </c>
      <c r="BD42" s="21">
        <f t="shared" si="127"/>
        <v>0</v>
      </c>
      <c r="BE42" s="36">
        <f t="shared" si="128"/>
        <v>0</v>
      </c>
      <c r="BF42" s="21">
        <f t="shared" si="129"/>
        <v>0</v>
      </c>
      <c r="BG42" s="21">
        <f t="shared" si="130"/>
        <v>0</v>
      </c>
      <c r="BH42" s="21">
        <f t="shared" si="131"/>
        <v>0</v>
      </c>
      <c r="BI42" s="21">
        <f t="shared" si="103"/>
        <v>0</v>
      </c>
      <c r="BJ42" s="21">
        <f t="shared" si="103"/>
        <v>0</v>
      </c>
      <c r="BK42" s="21">
        <f t="shared" si="103"/>
        <v>0</v>
      </c>
      <c r="BL42" s="21">
        <f t="shared" si="103"/>
        <v>0</v>
      </c>
      <c r="BM42" s="21">
        <f t="shared" si="103"/>
        <v>0</v>
      </c>
      <c r="BN42" s="21">
        <f t="shared" si="132"/>
        <v>0</v>
      </c>
      <c r="BO42" s="21">
        <f t="shared" si="133"/>
        <v>0</v>
      </c>
      <c r="BP42" s="21">
        <f t="shared" si="134"/>
        <v>0</v>
      </c>
      <c r="BQ42" s="21">
        <f t="shared" si="135"/>
        <v>0</v>
      </c>
      <c r="BR42" s="21">
        <f t="shared" si="136"/>
        <v>0</v>
      </c>
      <c r="BS42" s="21">
        <f t="shared" si="137"/>
        <v>0</v>
      </c>
      <c r="BT42" s="21">
        <f t="shared" si="138"/>
        <v>0</v>
      </c>
      <c r="BU42" s="21">
        <f t="shared" si="139"/>
        <v>0</v>
      </c>
      <c r="BV42" s="21">
        <f t="shared" si="140"/>
        <v>0</v>
      </c>
      <c r="BW42" s="21">
        <f t="shared" si="141"/>
        <v>0</v>
      </c>
      <c r="BX42" s="21">
        <f t="shared" si="142"/>
        <v>0</v>
      </c>
      <c r="BY42" s="21">
        <f t="shared" si="143"/>
        <v>0</v>
      </c>
      <c r="BZ42" s="21">
        <f t="shared" si="144"/>
        <v>0</v>
      </c>
      <c r="CA42" s="36">
        <f t="shared" si="145"/>
        <v>16.666666666666664</v>
      </c>
      <c r="CB42" s="21">
        <f t="shared" si="146"/>
        <v>16.666666666666664</v>
      </c>
      <c r="CC42" s="21">
        <f t="shared" si="147"/>
        <v>16.666666666666664</v>
      </c>
      <c r="CD42" s="21">
        <f t="shared" si="148"/>
        <v>16.666666666666664</v>
      </c>
      <c r="CE42" s="21">
        <f t="shared" si="105"/>
        <v>0</v>
      </c>
      <c r="CF42" s="21">
        <f t="shared" si="105"/>
        <v>0</v>
      </c>
      <c r="CG42" s="21">
        <f t="shared" si="105"/>
        <v>0</v>
      </c>
      <c r="CH42" s="21">
        <f t="shared" si="105"/>
        <v>0</v>
      </c>
      <c r="CI42" s="21">
        <f t="shared" si="105"/>
        <v>0</v>
      </c>
      <c r="CJ42" s="21">
        <f t="shared" si="149"/>
        <v>83.333333333333329</v>
      </c>
      <c r="CK42" s="21">
        <f t="shared" si="150"/>
        <v>16.666666666666664</v>
      </c>
      <c r="CL42" s="21">
        <f t="shared" si="151"/>
        <v>66.666666666666657</v>
      </c>
      <c r="CM42" s="21">
        <f t="shared" si="152"/>
        <v>16.666666666666664</v>
      </c>
      <c r="CN42" s="21">
        <f t="shared" si="153"/>
        <v>83.333333333333329</v>
      </c>
      <c r="CO42" s="21">
        <f t="shared" si="154"/>
        <v>16.666666666666664</v>
      </c>
      <c r="CP42" s="21">
        <f t="shared" si="155"/>
        <v>50</v>
      </c>
      <c r="CQ42" s="21">
        <f t="shared" si="156"/>
        <v>50</v>
      </c>
      <c r="CR42" s="21">
        <f t="shared" si="157"/>
        <v>0</v>
      </c>
      <c r="CS42" s="21">
        <f t="shared" si="158"/>
        <v>0</v>
      </c>
      <c r="CT42" s="21">
        <f t="shared" si="159"/>
        <v>0</v>
      </c>
      <c r="CU42" s="21">
        <f t="shared" si="160"/>
        <v>0</v>
      </c>
      <c r="CV42" s="21">
        <f t="shared" si="161"/>
        <v>0</v>
      </c>
      <c r="CW42" s="36">
        <f t="shared" si="162"/>
        <v>1.1111111111111112</v>
      </c>
      <c r="CX42" s="21">
        <f t="shared" si="163"/>
        <v>1.1111111111111112</v>
      </c>
      <c r="CY42" s="21">
        <f t="shared" si="164"/>
        <v>1.1111111111111112</v>
      </c>
      <c r="CZ42" s="21">
        <f t="shared" si="165"/>
        <v>1.1111111111111112</v>
      </c>
      <c r="DA42" s="21">
        <f t="shared" si="107"/>
        <v>0</v>
      </c>
      <c r="DB42" s="21">
        <f t="shared" si="107"/>
        <v>0</v>
      </c>
      <c r="DC42" s="21">
        <f t="shared" si="107"/>
        <v>0</v>
      </c>
      <c r="DD42" s="21">
        <f t="shared" si="107"/>
        <v>0</v>
      </c>
      <c r="DE42" s="21">
        <f t="shared" si="107"/>
        <v>0</v>
      </c>
      <c r="DF42" s="21">
        <f t="shared" si="166"/>
        <v>5.5555555555555554</v>
      </c>
      <c r="DG42" s="21">
        <f t="shared" si="167"/>
        <v>1.1111111111111112</v>
      </c>
      <c r="DH42" s="21">
        <f t="shared" si="168"/>
        <v>4.4444444444444446</v>
      </c>
      <c r="DI42" s="21">
        <f t="shared" si="169"/>
        <v>1.1111111111111112</v>
      </c>
      <c r="DJ42" s="21">
        <f t="shared" si="170"/>
        <v>5.5555555555555554</v>
      </c>
      <c r="DK42" s="21">
        <f t="shared" si="171"/>
        <v>1.1111111111111112</v>
      </c>
      <c r="DL42" s="21">
        <f t="shared" si="172"/>
        <v>3.333333333333333</v>
      </c>
      <c r="DM42" s="21">
        <f t="shared" si="173"/>
        <v>3.333333333333333</v>
      </c>
      <c r="DN42" s="21">
        <f t="shared" si="174"/>
        <v>0</v>
      </c>
      <c r="DO42" s="21">
        <f t="shared" si="175"/>
        <v>0</v>
      </c>
      <c r="DP42" s="21">
        <f t="shared" si="176"/>
        <v>0</v>
      </c>
      <c r="DQ42" s="21">
        <f t="shared" si="177"/>
        <v>0</v>
      </c>
      <c r="DR42" s="37">
        <f t="shared" si="178"/>
        <v>0</v>
      </c>
    </row>
    <row r="43" spans="2:122" ht="13.8" thickBot="1" x14ac:dyDescent="0.3">
      <c r="B43" s="49" t="str">
        <f>'Gårdens info'!C92</f>
        <v>kallvattentvättare</v>
      </c>
      <c r="C43" s="360"/>
      <c r="D43" s="515"/>
      <c r="E43" s="360">
        <f>'Gårdens info'!J92</f>
        <v>2005</v>
      </c>
      <c r="F43" s="508"/>
      <c r="G43" s="508"/>
      <c r="H43" s="506">
        <v>15</v>
      </c>
      <c r="I43">
        <f>'Gårdens info'!D92</f>
        <v>500</v>
      </c>
      <c r="J43" s="506">
        <f t="shared" si="109"/>
        <v>0</v>
      </c>
      <c r="K43" s="507">
        <v>0.03</v>
      </c>
      <c r="L43" s="498">
        <f>'Gårdens info'!$D$10/('Gårdens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M43" s="498">
        <f>'Gårdens info'!$D$11/('Gårdens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N43" s="498">
        <f>'Gårdens info'!$D$12/('Gårdens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O43" s="498">
        <f>'Gårdens info'!$D$13/('Gårdens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P43" s="498">
        <f>'Gårdens info'!$D$14/('Gårdens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Q43" s="498">
        <f>'Gårdens info'!$D$15/('Gårdens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R43" s="498">
        <f>'Gårdens info'!$D$16/('Gårdens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S43" s="498">
        <f>'Gårdens info'!$D$17/('Gårdens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T43" s="498">
        <f>'Gårdens info'!$D$18/('Gårdens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U43" s="498">
        <f>'Gårdens info'!$D$22/('Gårdens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0.18518518518518517</v>
      </c>
      <c r="V43" s="498">
        <f>'Gårdens info'!$D$23/('Gårdens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W43" s="498">
        <f>'Gårdens info'!$D$24/('Gårdens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0.14814814814814814</v>
      </c>
      <c r="X43" s="498">
        <f>'Gårdens info'!$D$25/('Gårdens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Y43" s="498">
        <f>'Gårdens info'!$D$26/('Gårdens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0.18518518518518517</v>
      </c>
      <c r="Z43" s="498">
        <f>'Gårdens info'!$D$27/('Gårdens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AA43" s="498">
        <f>'Gårdens info'!$D$28/('Gårdens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0.1111111111111111</v>
      </c>
      <c r="AB43" s="498">
        <f>'Gårdens info'!$D$31/('Gårdens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0.1111111111111111</v>
      </c>
      <c r="AC43" s="498">
        <f>'Gårdens info'!$D$32/('Gårdens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AD43" s="498">
        <f>'Gårdens info'!$D$33/('Gårdens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AE43" s="498">
        <f>'Gårdens info'!$D$34/('Gårdens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AF43" s="498">
        <f>'Gårdens info'!$D$35/('Gårdens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AG43" s="498">
        <f>'Gårdens info'!$D$36/('Gårdens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AH43" s="500">
        <f t="shared" si="110"/>
        <v>1</v>
      </c>
      <c r="AI43" s="21">
        <f t="shared" si="111"/>
        <v>0</v>
      </c>
      <c r="AJ43" s="21">
        <f t="shared" si="112"/>
        <v>0</v>
      </c>
      <c r="AK43" s="21">
        <f t="shared" si="113"/>
        <v>0</v>
      </c>
      <c r="AL43" s="21">
        <f t="shared" si="114"/>
        <v>0</v>
      </c>
      <c r="AM43" s="21">
        <f t="shared" si="101"/>
        <v>0</v>
      </c>
      <c r="AN43" s="21">
        <f t="shared" si="101"/>
        <v>0</v>
      </c>
      <c r="AO43" s="21">
        <f t="shared" si="101"/>
        <v>0</v>
      </c>
      <c r="AP43" s="21">
        <f t="shared" si="101"/>
        <v>0</v>
      </c>
      <c r="AQ43" s="21">
        <f t="shared" si="101"/>
        <v>0</v>
      </c>
      <c r="AR43" s="21">
        <f t="shared" si="115"/>
        <v>0</v>
      </c>
      <c r="AS43" s="21">
        <f t="shared" si="116"/>
        <v>0</v>
      </c>
      <c r="AT43" s="21">
        <f t="shared" si="117"/>
        <v>0</v>
      </c>
      <c r="AU43" s="21">
        <f t="shared" si="118"/>
        <v>0</v>
      </c>
      <c r="AV43" s="21">
        <f t="shared" si="119"/>
        <v>0</v>
      </c>
      <c r="AW43" s="21">
        <f t="shared" si="120"/>
        <v>0</v>
      </c>
      <c r="AX43" s="21">
        <f t="shared" si="121"/>
        <v>0</v>
      </c>
      <c r="AY43" s="21">
        <f t="shared" si="122"/>
        <v>0</v>
      </c>
      <c r="AZ43" s="21">
        <f t="shared" si="123"/>
        <v>0</v>
      </c>
      <c r="BA43" s="21">
        <f t="shared" si="124"/>
        <v>0</v>
      </c>
      <c r="BB43" s="21">
        <f t="shared" si="125"/>
        <v>0</v>
      </c>
      <c r="BC43" s="21">
        <f t="shared" si="126"/>
        <v>0</v>
      </c>
      <c r="BD43" s="21">
        <f t="shared" si="127"/>
        <v>0</v>
      </c>
      <c r="BE43" s="36">
        <f t="shared" si="128"/>
        <v>0</v>
      </c>
      <c r="BF43" s="21">
        <f t="shared" si="129"/>
        <v>0</v>
      </c>
      <c r="BG43" s="21">
        <f t="shared" si="130"/>
        <v>0</v>
      </c>
      <c r="BH43" s="21">
        <f t="shared" si="131"/>
        <v>0</v>
      </c>
      <c r="BI43" s="21">
        <f t="shared" si="103"/>
        <v>0</v>
      </c>
      <c r="BJ43" s="21">
        <f t="shared" si="103"/>
        <v>0</v>
      </c>
      <c r="BK43" s="21">
        <f t="shared" si="103"/>
        <v>0</v>
      </c>
      <c r="BL43" s="21">
        <f t="shared" si="103"/>
        <v>0</v>
      </c>
      <c r="BM43" s="21">
        <f t="shared" si="103"/>
        <v>0</v>
      </c>
      <c r="BN43" s="21">
        <f t="shared" si="132"/>
        <v>0</v>
      </c>
      <c r="BO43" s="21">
        <f t="shared" si="133"/>
        <v>0</v>
      </c>
      <c r="BP43" s="21">
        <f t="shared" si="134"/>
        <v>0</v>
      </c>
      <c r="BQ43" s="21">
        <f t="shared" si="135"/>
        <v>0</v>
      </c>
      <c r="BR43" s="21">
        <f t="shared" si="136"/>
        <v>0</v>
      </c>
      <c r="BS43" s="21">
        <f t="shared" si="137"/>
        <v>0</v>
      </c>
      <c r="BT43" s="21">
        <f t="shared" si="138"/>
        <v>0</v>
      </c>
      <c r="BU43" s="21">
        <f t="shared" si="139"/>
        <v>0</v>
      </c>
      <c r="BV43" s="21">
        <f t="shared" si="140"/>
        <v>0</v>
      </c>
      <c r="BW43" s="21">
        <f t="shared" si="141"/>
        <v>0</v>
      </c>
      <c r="BX43" s="21">
        <f t="shared" si="142"/>
        <v>0</v>
      </c>
      <c r="BY43" s="21">
        <f t="shared" si="143"/>
        <v>0</v>
      </c>
      <c r="BZ43" s="21">
        <f t="shared" si="144"/>
        <v>0</v>
      </c>
      <c r="CA43" s="36">
        <f t="shared" si="145"/>
        <v>0.55555555555555558</v>
      </c>
      <c r="CB43" s="21">
        <f t="shared" si="146"/>
        <v>0.55555555555555558</v>
      </c>
      <c r="CC43" s="21">
        <f t="shared" si="147"/>
        <v>0.55555555555555558</v>
      </c>
      <c r="CD43" s="21">
        <f t="shared" si="148"/>
        <v>0.55555555555555558</v>
      </c>
      <c r="CE43" s="21">
        <f t="shared" si="105"/>
        <v>0</v>
      </c>
      <c r="CF43" s="21">
        <f t="shared" si="105"/>
        <v>0</v>
      </c>
      <c r="CG43" s="21">
        <f t="shared" si="105"/>
        <v>0</v>
      </c>
      <c r="CH43" s="21">
        <f t="shared" si="105"/>
        <v>0</v>
      </c>
      <c r="CI43" s="21">
        <f t="shared" si="105"/>
        <v>0</v>
      </c>
      <c r="CJ43" s="21">
        <f t="shared" si="149"/>
        <v>2.7777777777777777</v>
      </c>
      <c r="CK43" s="21">
        <f t="shared" si="150"/>
        <v>0.55555555555555558</v>
      </c>
      <c r="CL43" s="21">
        <f t="shared" si="151"/>
        <v>2.2222222222222223</v>
      </c>
      <c r="CM43" s="21">
        <f t="shared" si="152"/>
        <v>0.55555555555555558</v>
      </c>
      <c r="CN43" s="21">
        <f t="shared" si="153"/>
        <v>2.7777777777777777</v>
      </c>
      <c r="CO43" s="21">
        <f t="shared" si="154"/>
        <v>0.55555555555555558</v>
      </c>
      <c r="CP43" s="21">
        <f t="shared" si="155"/>
        <v>1.6666666666666665</v>
      </c>
      <c r="CQ43" s="21">
        <f t="shared" si="156"/>
        <v>1.6666666666666665</v>
      </c>
      <c r="CR43" s="21">
        <f t="shared" si="157"/>
        <v>0</v>
      </c>
      <c r="CS43" s="21">
        <f t="shared" si="158"/>
        <v>0</v>
      </c>
      <c r="CT43" s="21">
        <f t="shared" si="159"/>
        <v>0</v>
      </c>
      <c r="CU43" s="21">
        <f t="shared" si="160"/>
        <v>0</v>
      </c>
      <c r="CV43" s="21">
        <f t="shared" si="161"/>
        <v>0</v>
      </c>
      <c r="CW43" s="36">
        <f t="shared" si="162"/>
        <v>3.7037037037037035E-2</v>
      </c>
      <c r="CX43" s="21">
        <f t="shared" si="163"/>
        <v>3.7037037037037035E-2</v>
      </c>
      <c r="CY43" s="21">
        <f t="shared" si="164"/>
        <v>3.7037037037037035E-2</v>
      </c>
      <c r="CZ43" s="21">
        <f t="shared" si="165"/>
        <v>3.7037037037037035E-2</v>
      </c>
      <c r="DA43" s="21">
        <f t="shared" si="107"/>
        <v>0</v>
      </c>
      <c r="DB43" s="21">
        <f t="shared" si="107"/>
        <v>0</v>
      </c>
      <c r="DC43" s="21">
        <f t="shared" si="107"/>
        <v>0</v>
      </c>
      <c r="DD43" s="21">
        <f t="shared" si="107"/>
        <v>0</v>
      </c>
      <c r="DE43" s="21">
        <f t="shared" si="107"/>
        <v>0</v>
      </c>
      <c r="DF43" s="21">
        <f t="shared" si="166"/>
        <v>0.18518518518518517</v>
      </c>
      <c r="DG43" s="21">
        <f t="shared" si="167"/>
        <v>3.7037037037037035E-2</v>
      </c>
      <c r="DH43" s="21">
        <f t="shared" si="168"/>
        <v>0.14814814814814814</v>
      </c>
      <c r="DI43" s="21">
        <f t="shared" si="169"/>
        <v>3.7037037037037035E-2</v>
      </c>
      <c r="DJ43" s="21">
        <f t="shared" si="170"/>
        <v>0.18518518518518517</v>
      </c>
      <c r="DK43" s="21">
        <f t="shared" si="171"/>
        <v>3.7037037037037035E-2</v>
      </c>
      <c r="DL43" s="21">
        <f t="shared" si="172"/>
        <v>0.1111111111111111</v>
      </c>
      <c r="DM43" s="21">
        <f t="shared" si="173"/>
        <v>0.1111111111111111</v>
      </c>
      <c r="DN43" s="21">
        <f t="shared" si="174"/>
        <v>0</v>
      </c>
      <c r="DO43" s="21">
        <f t="shared" si="175"/>
        <v>0</v>
      </c>
      <c r="DP43" s="21">
        <f t="shared" si="176"/>
        <v>0</v>
      </c>
      <c r="DQ43" s="21">
        <f t="shared" si="177"/>
        <v>0</v>
      </c>
      <c r="DR43" s="37">
        <f t="shared" si="178"/>
        <v>0</v>
      </c>
    </row>
    <row r="44" spans="2:122" ht="13.8" thickBot="1" x14ac:dyDescent="0.3">
      <c r="B44" s="49" t="str">
        <f>'Gårdens info'!C93</f>
        <v>körbar gräsklippare</v>
      </c>
      <c r="C44" s="360"/>
      <c r="D44" s="515"/>
      <c r="E44" s="360">
        <f>'Gårdens info'!J93</f>
        <v>2003</v>
      </c>
      <c r="F44" s="508"/>
      <c r="G44" s="508"/>
      <c r="H44" s="506">
        <v>15</v>
      </c>
      <c r="I44">
        <f>'Gårdens info'!D93</f>
        <v>2500</v>
      </c>
      <c r="J44" s="506">
        <f t="shared" si="109"/>
        <v>0</v>
      </c>
      <c r="K44" s="507">
        <v>0.03</v>
      </c>
      <c r="L44" s="498">
        <f>'Gårdens info'!$D$10/('Gårdens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M44" s="498">
        <f>'Gårdens info'!$D$11/('Gårdens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N44" s="498">
        <f>'Gårdens info'!$D$12/('Gårdens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O44" s="498">
        <f>'Gårdens info'!$D$13/('Gårdens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P44" s="498">
        <f>'Gårdens info'!$D$14/('Gårdens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Q44" s="498">
        <f>'Gårdens info'!$D$15/('Gårdens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R44" s="498">
        <f>'Gårdens info'!$D$16/('Gårdens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S44" s="498">
        <f>'Gårdens info'!$D$17/('Gårdens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T44" s="498">
        <f>'Gårdens info'!$D$18/('Gårdens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U44" s="498">
        <f>'Gårdens info'!$D$22/('Gårdens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0.18518518518518517</v>
      </c>
      <c r="V44" s="498">
        <f>'Gårdens info'!$D$23/('Gårdens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W44" s="498">
        <f>'Gårdens info'!$D$24/('Gårdens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0.14814814814814814</v>
      </c>
      <c r="X44" s="498">
        <f>'Gårdens info'!$D$25/('Gårdens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Y44" s="498">
        <f>'Gårdens info'!$D$26/('Gårdens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0.18518518518518517</v>
      </c>
      <c r="Z44" s="498">
        <f>'Gårdens info'!$D$27/('Gårdens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AA44" s="498">
        <f>'Gårdens info'!$D$28/('Gårdens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0.1111111111111111</v>
      </c>
      <c r="AB44" s="498">
        <f>'Gårdens info'!$D$31/('Gårdens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0.1111111111111111</v>
      </c>
      <c r="AC44" s="498">
        <f>'Gårdens info'!$D$32/('Gårdens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AD44" s="498">
        <f>'Gårdens info'!$D$33/('Gårdens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AE44" s="498">
        <f>'Gårdens info'!$D$34/('Gårdens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AF44" s="498">
        <f>'Gårdens info'!$D$35/('Gårdens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AG44" s="498">
        <f>'Gårdens info'!$D$36/('Gårdens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AH44" s="500">
        <f t="shared" si="110"/>
        <v>1</v>
      </c>
      <c r="AI44" s="21">
        <f t="shared" si="111"/>
        <v>0</v>
      </c>
      <c r="AJ44" s="21">
        <f t="shared" si="112"/>
        <v>0</v>
      </c>
      <c r="AK44" s="21">
        <f t="shared" si="113"/>
        <v>0</v>
      </c>
      <c r="AL44" s="21">
        <f t="shared" si="114"/>
        <v>0</v>
      </c>
      <c r="AM44" s="21">
        <f t="shared" ref="AM44:AQ50" si="179">IF((($C$7-$E44)&lt;=$H44),(($I44-$J44)/$H44*P44),0)</f>
        <v>0</v>
      </c>
      <c r="AN44" s="21">
        <f t="shared" si="179"/>
        <v>0</v>
      </c>
      <c r="AO44" s="21">
        <f t="shared" si="179"/>
        <v>0</v>
      </c>
      <c r="AP44" s="21">
        <f t="shared" si="179"/>
        <v>0</v>
      </c>
      <c r="AQ44" s="21">
        <f t="shared" si="179"/>
        <v>0</v>
      </c>
      <c r="AR44" s="21">
        <f t="shared" si="115"/>
        <v>0</v>
      </c>
      <c r="AS44" s="21">
        <f t="shared" si="116"/>
        <v>0</v>
      </c>
      <c r="AT44" s="21">
        <f t="shared" si="117"/>
        <v>0</v>
      </c>
      <c r="AU44" s="21">
        <f t="shared" si="118"/>
        <v>0</v>
      </c>
      <c r="AV44" s="21">
        <f t="shared" si="119"/>
        <v>0</v>
      </c>
      <c r="AW44" s="21">
        <f t="shared" si="120"/>
        <v>0</v>
      </c>
      <c r="AX44" s="21">
        <f t="shared" si="121"/>
        <v>0</v>
      </c>
      <c r="AY44" s="21">
        <f t="shared" si="122"/>
        <v>0</v>
      </c>
      <c r="AZ44" s="21">
        <f t="shared" si="123"/>
        <v>0</v>
      </c>
      <c r="BA44" s="21">
        <f t="shared" si="124"/>
        <v>0</v>
      </c>
      <c r="BB44" s="21">
        <f t="shared" si="125"/>
        <v>0</v>
      </c>
      <c r="BC44" s="21">
        <f t="shared" si="126"/>
        <v>0</v>
      </c>
      <c r="BD44" s="21">
        <f t="shared" si="127"/>
        <v>0</v>
      </c>
      <c r="BE44" s="36">
        <f t="shared" si="128"/>
        <v>0</v>
      </c>
      <c r="BF44" s="21">
        <f t="shared" si="129"/>
        <v>0</v>
      </c>
      <c r="BG44" s="21">
        <f t="shared" si="130"/>
        <v>0</v>
      </c>
      <c r="BH44" s="21">
        <f t="shared" si="131"/>
        <v>0</v>
      </c>
      <c r="BI44" s="21">
        <f t="shared" ref="BI44:BM50" si="180">IF(($C$7-$E44&lt;=$H44),(($I44+$J44)/2*$C$8*P44),0)</f>
        <v>0</v>
      </c>
      <c r="BJ44" s="21">
        <f t="shared" si="180"/>
        <v>0</v>
      </c>
      <c r="BK44" s="21">
        <f t="shared" si="180"/>
        <v>0</v>
      </c>
      <c r="BL44" s="21">
        <f t="shared" si="180"/>
        <v>0</v>
      </c>
      <c r="BM44" s="21">
        <f t="shared" si="180"/>
        <v>0</v>
      </c>
      <c r="BN44" s="21">
        <f t="shared" si="132"/>
        <v>0</v>
      </c>
      <c r="BO44" s="21">
        <f t="shared" si="133"/>
        <v>0</v>
      </c>
      <c r="BP44" s="21">
        <f t="shared" si="134"/>
        <v>0</v>
      </c>
      <c r="BQ44" s="21">
        <f t="shared" si="135"/>
        <v>0</v>
      </c>
      <c r="BR44" s="21">
        <f t="shared" si="136"/>
        <v>0</v>
      </c>
      <c r="BS44" s="21">
        <f t="shared" si="137"/>
        <v>0</v>
      </c>
      <c r="BT44" s="21">
        <f t="shared" si="138"/>
        <v>0</v>
      </c>
      <c r="BU44" s="21">
        <f t="shared" si="139"/>
        <v>0</v>
      </c>
      <c r="BV44" s="21">
        <f t="shared" si="140"/>
        <v>0</v>
      </c>
      <c r="BW44" s="21">
        <f t="shared" si="141"/>
        <v>0</v>
      </c>
      <c r="BX44" s="21">
        <f t="shared" si="142"/>
        <v>0</v>
      </c>
      <c r="BY44" s="21">
        <f t="shared" si="143"/>
        <v>0</v>
      </c>
      <c r="BZ44" s="21">
        <f t="shared" si="144"/>
        <v>0</v>
      </c>
      <c r="CA44" s="36">
        <f t="shared" si="145"/>
        <v>2.7777777777777777</v>
      </c>
      <c r="CB44" s="21">
        <f t="shared" si="146"/>
        <v>2.7777777777777777</v>
      </c>
      <c r="CC44" s="21">
        <f t="shared" si="147"/>
        <v>2.7777777777777777</v>
      </c>
      <c r="CD44" s="21">
        <f t="shared" si="148"/>
        <v>2.7777777777777777</v>
      </c>
      <c r="CE44" s="21">
        <f t="shared" ref="CE44:CI50" si="181">$I44*$K44*P44</f>
        <v>0</v>
      </c>
      <c r="CF44" s="21">
        <f t="shared" si="181"/>
        <v>0</v>
      </c>
      <c r="CG44" s="21">
        <f t="shared" si="181"/>
        <v>0</v>
      </c>
      <c r="CH44" s="21">
        <f t="shared" si="181"/>
        <v>0</v>
      </c>
      <c r="CI44" s="21">
        <f t="shared" si="181"/>
        <v>0</v>
      </c>
      <c r="CJ44" s="21">
        <f t="shared" si="149"/>
        <v>13.888888888888888</v>
      </c>
      <c r="CK44" s="21">
        <f t="shared" si="150"/>
        <v>2.7777777777777777</v>
      </c>
      <c r="CL44" s="21">
        <f t="shared" si="151"/>
        <v>11.111111111111111</v>
      </c>
      <c r="CM44" s="21">
        <f t="shared" si="152"/>
        <v>2.7777777777777777</v>
      </c>
      <c r="CN44" s="21">
        <f t="shared" si="153"/>
        <v>13.888888888888888</v>
      </c>
      <c r="CO44" s="21">
        <f t="shared" si="154"/>
        <v>2.7777777777777777</v>
      </c>
      <c r="CP44" s="21">
        <f t="shared" si="155"/>
        <v>8.3333333333333321</v>
      </c>
      <c r="CQ44" s="21">
        <f t="shared" si="156"/>
        <v>8.3333333333333321</v>
      </c>
      <c r="CR44" s="21">
        <f t="shared" si="157"/>
        <v>0</v>
      </c>
      <c r="CS44" s="21">
        <f t="shared" si="158"/>
        <v>0</v>
      </c>
      <c r="CT44" s="21">
        <f t="shared" si="159"/>
        <v>0</v>
      </c>
      <c r="CU44" s="21">
        <f t="shared" si="160"/>
        <v>0</v>
      </c>
      <c r="CV44" s="21">
        <f t="shared" si="161"/>
        <v>0</v>
      </c>
      <c r="CW44" s="36">
        <f t="shared" si="162"/>
        <v>0.18518518518518517</v>
      </c>
      <c r="CX44" s="21">
        <f t="shared" si="163"/>
        <v>0.18518518518518517</v>
      </c>
      <c r="CY44" s="21">
        <f t="shared" si="164"/>
        <v>0.18518518518518517</v>
      </c>
      <c r="CZ44" s="21">
        <f t="shared" si="165"/>
        <v>0.18518518518518517</v>
      </c>
      <c r="DA44" s="21">
        <f t="shared" ref="DA44:DE50" si="182">$I44*$C$9*P44</f>
        <v>0</v>
      </c>
      <c r="DB44" s="21">
        <f t="shared" si="182"/>
        <v>0</v>
      </c>
      <c r="DC44" s="21">
        <f t="shared" si="182"/>
        <v>0</v>
      </c>
      <c r="DD44" s="21">
        <f t="shared" si="182"/>
        <v>0</v>
      </c>
      <c r="DE44" s="21">
        <f t="shared" si="182"/>
        <v>0</v>
      </c>
      <c r="DF44" s="21">
        <f t="shared" si="166"/>
        <v>0.92592592592592582</v>
      </c>
      <c r="DG44" s="21">
        <f t="shared" si="167"/>
        <v>0.18518518518518517</v>
      </c>
      <c r="DH44" s="21">
        <f t="shared" si="168"/>
        <v>0.7407407407407407</v>
      </c>
      <c r="DI44" s="21">
        <f t="shared" si="169"/>
        <v>0.18518518518518517</v>
      </c>
      <c r="DJ44" s="21">
        <f t="shared" si="170"/>
        <v>0.92592592592592582</v>
      </c>
      <c r="DK44" s="21">
        <f t="shared" si="171"/>
        <v>0.18518518518518517</v>
      </c>
      <c r="DL44" s="21">
        <f t="shared" si="172"/>
        <v>0.55555555555555558</v>
      </c>
      <c r="DM44" s="21">
        <f t="shared" si="173"/>
        <v>0.55555555555555558</v>
      </c>
      <c r="DN44" s="21">
        <f t="shared" si="174"/>
        <v>0</v>
      </c>
      <c r="DO44" s="21">
        <f t="shared" si="175"/>
        <v>0</v>
      </c>
      <c r="DP44" s="21">
        <f t="shared" si="176"/>
        <v>0</v>
      </c>
      <c r="DQ44" s="21">
        <f t="shared" si="177"/>
        <v>0</v>
      </c>
      <c r="DR44" s="37">
        <f t="shared" si="178"/>
        <v>0</v>
      </c>
    </row>
    <row r="45" spans="2:122" ht="13.8" thickBot="1" x14ac:dyDescent="0.3">
      <c r="B45" s="49" t="str">
        <f>'Gårdens info'!C94</f>
        <v>släpvagnar</v>
      </c>
      <c r="C45" s="360"/>
      <c r="D45" s="515"/>
      <c r="E45" s="360">
        <f>'Gårdens info'!J94</f>
        <v>1995</v>
      </c>
      <c r="F45" s="508"/>
      <c r="G45" s="508"/>
      <c r="H45" s="506">
        <v>15</v>
      </c>
      <c r="I45">
        <f>'Gårdens info'!D94</f>
        <v>7000</v>
      </c>
      <c r="J45" s="506">
        <f t="shared" si="109"/>
        <v>0</v>
      </c>
      <c r="K45" s="507">
        <v>0.03</v>
      </c>
      <c r="L45" s="498">
        <f>'Gårdens info'!$D$10/('Gårdens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M45" s="498">
        <f>'Gårdens info'!$D$11/('Gårdens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N45" s="498">
        <f>'Gårdens info'!$D$12/('Gårdens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O45" s="498">
        <f>'Gårdens info'!$D$13/('Gårdens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P45" s="498">
        <f>'Gårdens info'!$D$14/('Gårdens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Q45" s="498">
        <f>'Gårdens info'!$D$15/('Gårdens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R45" s="498">
        <f>'Gårdens info'!$D$16/('Gårdens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S45" s="498">
        <f>'Gårdens info'!$D$17/('Gårdens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T45" s="498">
        <f>'Gårdens info'!$D$18/('Gårdens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U45" s="498">
        <f>'Gårdens info'!$D$22/('Gårdens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0.18518518518518517</v>
      </c>
      <c r="V45" s="498">
        <f>'Gårdens info'!$D$23/('Gårdens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W45" s="498">
        <f>'Gårdens info'!$D$24/('Gårdens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0.14814814814814814</v>
      </c>
      <c r="X45" s="498">
        <f>'Gårdens info'!$D$25/('Gårdens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Y45" s="498">
        <f>'Gårdens info'!$D$26/('Gårdens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0.18518518518518517</v>
      </c>
      <c r="Z45" s="498">
        <f>'Gårdens info'!$D$27/('Gårdens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AA45" s="498">
        <f>'Gårdens info'!$D$28/('Gårdens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0.1111111111111111</v>
      </c>
      <c r="AB45" s="498">
        <f>'Gårdens info'!$D$31/('Gårdens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0.1111111111111111</v>
      </c>
      <c r="AC45" s="498">
        <f>'Gårdens info'!$D$32/('Gårdens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AD45" s="498">
        <f>'Gårdens info'!$D$33/('Gårdens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AE45" s="498">
        <f>'Gårdens info'!$D$34/('Gårdens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AF45" s="498">
        <f>'Gårdens info'!$D$35/('Gårdens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AG45" s="498">
        <f>'Gårdens info'!$D$36/('Gårdens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AH45" s="500">
        <f t="shared" si="110"/>
        <v>1</v>
      </c>
      <c r="AI45" s="21">
        <f t="shared" si="111"/>
        <v>0</v>
      </c>
      <c r="AJ45" s="21">
        <f t="shared" si="112"/>
        <v>0</v>
      </c>
      <c r="AK45" s="21">
        <f t="shared" si="113"/>
        <v>0</v>
      </c>
      <c r="AL45" s="21">
        <f t="shared" si="114"/>
        <v>0</v>
      </c>
      <c r="AM45" s="21">
        <f t="shared" si="179"/>
        <v>0</v>
      </c>
      <c r="AN45" s="21">
        <f t="shared" si="179"/>
        <v>0</v>
      </c>
      <c r="AO45" s="21">
        <f t="shared" si="179"/>
        <v>0</v>
      </c>
      <c r="AP45" s="21">
        <f t="shared" si="179"/>
        <v>0</v>
      </c>
      <c r="AQ45" s="21">
        <f t="shared" si="179"/>
        <v>0</v>
      </c>
      <c r="AR45" s="21">
        <f t="shared" si="115"/>
        <v>0</v>
      </c>
      <c r="AS45" s="21">
        <f t="shared" si="116"/>
        <v>0</v>
      </c>
      <c r="AT45" s="21">
        <f t="shared" si="117"/>
        <v>0</v>
      </c>
      <c r="AU45" s="21">
        <f t="shared" si="118"/>
        <v>0</v>
      </c>
      <c r="AV45" s="21">
        <f t="shared" si="119"/>
        <v>0</v>
      </c>
      <c r="AW45" s="21">
        <f t="shared" si="120"/>
        <v>0</v>
      </c>
      <c r="AX45" s="21">
        <f t="shared" si="121"/>
        <v>0</v>
      </c>
      <c r="AY45" s="21">
        <f t="shared" si="122"/>
        <v>0</v>
      </c>
      <c r="AZ45" s="21">
        <f t="shared" si="123"/>
        <v>0</v>
      </c>
      <c r="BA45" s="21">
        <f t="shared" si="124"/>
        <v>0</v>
      </c>
      <c r="BB45" s="21">
        <f t="shared" si="125"/>
        <v>0</v>
      </c>
      <c r="BC45" s="21">
        <f t="shared" si="126"/>
        <v>0</v>
      </c>
      <c r="BD45" s="21">
        <f t="shared" si="127"/>
        <v>0</v>
      </c>
      <c r="BE45" s="36">
        <f t="shared" si="128"/>
        <v>0</v>
      </c>
      <c r="BF45" s="21">
        <f t="shared" si="129"/>
        <v>0</v>
      </c>
      <c r="BG45" s="21">
        <f t="shared" si="130"/>
        <v>0</v>
      </c>
      <c r="BH45" s="21">
        <f t="shared" si="131"/>
        <v>0</v>
      </c>
      <c r="BI45" s="21">
        <f t="shared" si="180"/>
        <v>0</v>
      </c>
      <c r="BJ45" s="21">
        <f t="shared" si="180"/>
        <v>0</v>
      </c>
      <c r="BK45" s="21">
        <f t="shared" si="180"/>
        <v>0</v>
      </c>
      <c r="BL45" s="21">
        <f t="shared" si="180"/>
        <v>0</v>
      </c>
      <c r="BM45" s="21">
        <f t="shared" si="180"/>
        <v>0</v>
      </c>
      <c r="BN45" s="21">
        <f t="shared" si="132"/>
        <v>0</v>
      </c>
      <c r="BO45" s="21">
        <f t="shared" si="133"/>
        <v>0</v>
      </c>
      <c r="BP45" s="21">
        <f t="shared" si="134"/>
        <v>0</v>
      </c>
      <c r="BQ45" s="21">
        <f t="shared" si="135"/>
        <v>0</v>
      </c>
      <c r="BR45" s="21">
        <f t="shared" si="136"/>
        <v>0</v>
      </c>
      <c r="BS45" s="21">
        <f t="shared" si="137"/>
        <v>0</v>
      </c>
      <c r="BT45" s="21">
        <f t="shared" si="138"/>
        <v>0</v>
      </c>
      <c r="BU45" s="21">
        <f t="shared" si="139"/>
        <v>0</v>
      </c>
      <c r="BV45" s="21">
        <f t="shared" si="140"/>
        <v>0</v>
      </c>
      <c r="BW45" s="21">
        <f t="shared" si="141"/>
        <v>0</v>
      </c>
      <c r="BX45" s="21">
        <f t="shared" si="142"/>
        <v>0</v>
      </c>
      <c r="BY45" s="21">
        <f t="shared" si="143"/>
        <v>0</v>
      </c>
      <c r="BZ45" s="21">
        <f t="shared" si="144"/>
        <v>0</v>
      </c>
      <c r="CA45" s="36">
        <f t="shared" si="145"/>
        <v>7.7777777777777777</v>
      </c>
      <c r="CB45" s="21">
        <f t="shared" si="146"/>
        <v>7.7777777777777777</v>
      </c>
      <c r="CC45" s="21">
        <f t="shared" si="147"/>
        <v>7.7777777777777777</v>
      </c>
      <c r="CD45" s="21">
        <f t="shared" si="148"/>
        <v>7.7777777777777777</v>
      </c>
      <c r="CE45" s="21">
        <f t="shared" si="181"/>
        <v>0</v>
      </c>
      <c r="CF45" s="21">
        <f t="shared" si="181"/>
        <v>0</v>
      </c>
      <c r="CG45" s="21">
        <f t="shared" si="181"/>
        <v>0</v>
      </c>
      <c r="CH45" s="21">
        <f t="shared" si="181"/>
        <v>0</v>
      </c>
      <c r="CI45" s="21">
        <f t="shared" si="181"/>
        <v>0</v>
      </c>
      <c r="CJ45" s="21">
        <f t="shared" si="149"/>
        <v>38.888888888888886</v>
      </c>
      <c r="CK45" s="21">
        <f t="shared" si="150"/>
        <v>7.7777777777777777</v>
      </c>
      <c r="CL45" s="21">
        <f t="shared" si="151"/>
        <v>31.111111111111111</v>
      </c>
      <c r="CM45" s="21">
        <f t="shared" si="152"/>
        <v>7.7777777777777777</v>
      </c>
      <c r="CN45" s="21">
        <f t="shared" si="153"/>
        <v>38.888888888888886</v>
      </c>
      <c r="CO45" s="21">
        <f t="shared" si="154"/>
        <v>7.7777777777777777</v>
      </c>
      <c r="CP45" s="21">
        <f t="shared" si="155"/>
        <v>23.333333333333332</v>
      </c>
      <c r="CQ45" s="21">
        <f t="shared" si="156"/>
        <v>23.333333333333332</v>
      </c>
      <c r="CR45" s="21">
        <f t="shared" si="157"/>
        <v>0</v>
      </c>
      <c r="CS45" s="21">
        <f t="shared" si="158"/>
        <v>0</v>
      </c>
      <c r="CT45" s="21">
        <f t="shared" si="159"/>
        <v>0</v>
      </c>
      <c r="CU45" s="21">
        <f t="shared" si="160"/>
        <v>0</v>
      </c>
      <c r="CV45" s="21">
        <f t="shared" si="161"/>
        <v>0</v>
      </c>
      <c r="CW45" s="36">
        <f t="shared" si="162"/>
        <v>0.51851851851851849</v>
      </c>
      <c r="CX45" s="21">
        <f t="shared" si="163"/>
        <v>0.51851851851851849</v>
      </c>
      <c r="CY45" s="21">
        <f t="shared" si="164"/>
        <v>0.51851851851851849</v>
      </c>
      <c r="CZ45" s="21">
        <f t="shared" si="165"/>
        <v>0.51851851851851849</v>
      </c>
      <c r="DA45" s="21">
        <f t="shared" si="182"/>
        <v>0</v>
      </c>
      <c r="DB45" s="21">
        <f t="shared" si="182"/>
        <v>0</v>
      </c>
      <c r="DC45" s="21">
        <f t="shared" si="182"/>
        <v>0</v>
      </c>
      <c r="DD45" s="21">
        <f t="shared" si="182"/>
        <v>0</v>
      </c>
      <c r="DE45" s="21">
        <f t="shared" si="182"/>
        <v>0</v>
      </c>
      <c r="DF45" s="21">
        <f t="shared" si="166"/>
        <v>2.5925925925925926</v>
      </c>
      <c r="DG45" s="21">
        <f t="shared" si="167"/>
        <v>0.51851851851851849</v>
      </c>
      <c r="DH45" s="21">
        <f t="shared" si="168"/>
        <v>2.074074074074074</v>
      </c>
      <c r="DI45" s="21">
        <f t="shared" si="169"/>
        <v>0.51851851851851849</v>
      </c>
      <c r="DJ45" s="21">
        <f t="shared" si="170"/>
        <v>2.5925925925925926</v>
      </c>
      <c r="DK45" s="21">
        <f t="shared" si="171"/>
        <v>0.51851851851851849</v>
      </c>
      <c r="DL45" s="21">
        <f t="shared" si="172"/>
        <v>1.5555555555555554</v>
      </c>
      <c r="DM45" s="21">
        <f t="shared" si="173"/>
        <v>1.5555555555555554</v>
      </c>
      <c r="DN45" s="21">
        <f t="shared" si="174"/>
        <v>0</v>
      </c>
      <c r="DO45" s="21">
        <f t="shared" si="175"/>
        <v>0</v>
      </c>
      <c r="DP45" s="21">
        <f t="shared" si="176"/>
        <v>0</v>
      </c>
      <c r="DQ45" s="21">
        <f t="shared" si="177"/>
        <v>0</v>
      </c>
      <c r="DR45" s="37">
        <f t="shared" si="178"/>
        <v>0</v>
      </c>
    </row>
    <row r="46" spans="2:122" s="732" customFormat="1" ht="13.8" thickBot="1" x14ac:dyDescent="0.3">
      <c r="B46" s="730" t="str">
        <f>'Gårdens info'!C95</f>
        <v>trädgårdsproduktion maskin X</v>
      </c>
      <c r="C46" s="733"/>
      <c r="D46" s="734"/>
      <c r="E46" s="733">
        <f>'Gårdens info'!J95</f>
        <v>0</v>
      </c>
      <c r="F46" s="730"/>
      <c r="G46" s="730"/>
      <c r="H46" s="735">
        <v>15</v>
      </c>
      <c r="I46" s="732">
        <f>'Gårdens info'!D95</f>
        <v>0</v>
      </c>
      <c r="J46" s="735">
        <f t="shared" si="109"/>
        <v>0</v>
      </c>
      <c r="K46" s="736">
        <v>0.03</v>
      </c>
      <c r="L46" s="738">
        <f>'Gårdens info'!$D$10/('Gårdens info'!$D$10+'Gårdens info'!$D$11+'Gårdens info'!$D$12+'Gårdens info'!$D$13+'Gårdens info'!$D$22+'Gårdens info'!$D$23+'Gårdens info'!$D$24+'Gårdens info'!$D$25+'Gårdens info'!$D$26+'Gårdens info'!$D$27+'Gårdens info'!$D$28)</f>
        <v>4.1666666666666664E-2</v>
      </c>
      <c r="M46" s="738">
        <f>'Gårdens info'!$D$11/('Gårdens info'!$D$10+'Gårdens info'!$D$11+'Gårdens info'!$D$12+'Gårdens info'!$D$13+'Gårdens info'!$D$22+'Gårdens info'!$D$23+'Gårdens info'!$D$24+'Gårdens info'!$D$25+'Gårdens info'!$D$26+'Gårdens info'!$D$27+'Gårdens info'!$D$28)</f>
        <v>4.1666666666666664E-2</v>
      </c>
      <c r="N46" s="738">
        <f>'Gårdens info'!$D$12/('Gårdens info'!$D$10+'Gårdens info'!$D$11+'Gårdens info'!$D$12+'Gårdens info'!$D$13+'Gårdens info'!$D$22+'Gårdens info'!$D$23+'Gårdens info'!$D$24+'Gårdens info'!$D$25+'Gårdens info'!$D$26+'Gårdens info'!$D$27+'Gårdens info'!$D$28)</f>
        <v>4.1666666666666664E-2</v>
      </c>
      <c r="O46" s="738">
        <f>'Gårdens info'!$D$13/('Gårdens info'!$D$10+'Gårdens info'!$D$11+'Gårdens info'!$D$12+'Gårdens info'!$D$13+'Gårdens info'!$D$22+'Gårdens info'!$D$23+'Gårdens info'!$D$24+'Gårdens info'!$D$25+'Gårdens info'!$D$26+'Gårdens info'!$D$27+'Gårdens info'!$D$28)</f>
        <v>4.1666666666666664E-2</v>
      </c>
      <c r="P46" s="738">
        <f>'Gårdens info'!$D$14/('Gårdens info'!$D$10+'Gårdens info'!$D$11+'Gårdens info'!$D$12+'Gårdens info'!$D$13+'Gårdens info'!$D$22+'Gårdens info'!$D$23+'Gårdens info'!$D$24+'Gårdens info'!$D$25+'Gårdens info'!$D$26+'Gårdens info'!$D$27+'Gårdens info'!$D$28)</f>
        <v>0</v>
      </c>
      <c r="Q46" s="738">
        <f>'Gårdens info'!$D$15/('Gårdens info'!$D$10+'Gårdens info'!$D$11+'Gårdens info'!$D$12+'Gårdens info'!$D$13+'Gårdens info'!$D$22+'Gårdens info'!$D$23+'Gårdens info'!$D$24+'Gårdens info'!$D$25+'Gårdens info'!$D$26+'Gårdens info'!$D$27+'Gårdens info'!$D$28)</f>
        <v>0</v>
      </c>
      <c r="R46" s="738">
        <f>'Gårdens info'!$D$16/('Gårdens info'!$D$10+'Gårdens info'!$D$11+'Gårdens info'!$D$12+'Gårdens info'!$D$13+'Gårdens info'!$D$22+'Gårdens info'!$D$23+'Gårdens info'!$D$24+'Gårdens info'!$D$25+'Gårdens info'!$D$26+'Gårdens info'!$D$27+'Gårdens info'!$D$28)</f>
        <v>0</v>
      </c>
      <c r="S46" s="738">
        <f>'Gårdens info'!$D$17/('Gårdens info'!$D$10+'Gårdens info'!$D$11+'Gårdens info'!$D$12+'Gårdens info'!$D$13+'Gårdens info'!$D$22+'Gårdens info'!$D$23+'Gårdens info'!$D$24+'Gårdens info'!$D$25+'Gårdens info'!$D$26+'Gårdens info'!$D$27+'Gårdens info'!$D$28)</f>
        <v>0</v>
      </c>
      <c r="T46" s="738">
        <f>'Gårdens info'!$D$18/('Gårdens info'!$D$10+'Gårdens info'!$D$11+'Gårdens info'!$D$12+'Gårdens info'!$D$13+'Gårdens info'!$D$22+'Gårdens info'!$D$23+'Gårdens info'!$D$24+'Gårdens info'!$D$25+'Gårdens info'!$D$26+'Gårdens info'!$D$27+'Gårdens info'!$D$28)</f>
        <v>0</v>
      </c>
      <c r="U46" s="738">
        <f>'Gårdens info'!$D$22/('Gårdens info'!$D$10+'Gårdens info'!$D$11+'Gårdens info'!$D$12+'Gårdens info'!$D$13+'Gårdens info'!$D$22+'Gårdens info'!$D$23+'Gårdens info'!$D$24+'Gårdens info'!$D$25+'Gårdens info'!$D$26+'Gårdens info'!$D$27+'Gårdens info'!$D$28)</f>
        <v>0.20833333333333334</v>
      </c>
      <c r="V46" s="738">
        <f>'Gårdens info'!$D$23/('Gårdens info'!$D$10+'Gårdens info'!$D$11+'Gårdens info'!$D$12+'Gårdens info'!$D$13+'Gårdens info'!$D$22+'Gårdens info'!$D$23+'Gårdens info'!$D$24+'Gårdens info'!$D$25+'Gårdens info'!$D$26+'Gårdens info'!$D$27+'Gårdens info'!$D$28)</f>
        <v>4.1666666666666664E-2</v>
      </c>
      <c r="W46" s="738">
        <f>'Gårdens info'!$D$24/('Gårdens info'!$D$10+'Gårdens info'!$D$11+'Gårdens info'!$D$12+'Gårdens info'!$D$13+'Gårdens info'!$D$22+'Gårdens info'!$D$23+'Gårdens info'!$D$24+'Gårdens info'!$D$25+'Gårdens info'!$D$26+'Gårdens info'!$D$27+'Gårdens info'!$D$28)</f>
        <v>0.16666666666666666</v>
      </c>
      <c r="X46" s="738">
        <f>'Gårdens info'!$D$25/('Gårdens info'!$D$10+'Gårdens info'!$D$11+'Gårdens info'!$D$12+'Gårdens info'!$D$13+'Gårdens info'!$D$22+'Gårdens info'!$D$23+'Gårdens info'!$D$24+'Gårdens info'!$D$25+'Gårdens info'!$D$26+'Gårdens info'!$D$27+'Gårdens info'!$D$28)</f>
        <v>4.1666666666666664E-2</v>
      </c>
      <c r="Y46" s="738">
        <f>'Gårdens info'!$D$26/('Gårdens info'!$D$10+'Gårdens info'!$D$11+'Gårdens info'!$D$12+'Gårdens info'!$D$13+'Gårdens info'!$D$22+'Gårdens info'!$D$23+'Gårdens info'!$D$24+'Gårdens info'!$D$25+'Gårdens info'!$D$26+'Gårdens info'!$D$27+'Gårdens info'!$D$28)</f>
        <v>0.20833333333333334</v>
      </c>
      <c r="Z46" s="738">
        <f>'Gårdens info'!$D$27/('Gårdens info'!$D$10+'Gårdens info'!$D$11+'Gårdens info'!$D$12+'Gårdens info'!$D$13+'Gårdens info'!$D$22+'Gårdens info'!$D$23+'Gårdens info'!$D$24+'Gårdens info'!$D$25+'Gårdens info'!$D$26+'Gårdens info'!$D$27+'Gårdens info'!$D$28)</f>
        <v>4.1666666666666664E-2</v>
      </c>
      <c r="AA46" s="738">
        <f>'Gårdens info'!$D$28/('Gårdens info'!$D$10+'Gårdens info'!$D$11+'Gårdens info'!$D$12+'Gårdens info'!$D$13+'Gårdens info'!$D$22+'Gårdens info'!$D$23+'Gårdens info'!$D$24+'Gårdens info'!$D$25+'Gårdens info'!$D$26+'Gårdens info'!$D$27+'Gårdens info'!$D$28)</f>
        <v>0.125</v>
      </c>
      <c r="AB46" s="738">
        <v>0</v>
      </c>
      <c r="AC46" s="738">
        <v>0</v>
      </c>
      <c r="AD46" s="738">
        <v>0</v>
      </c>
      <c r="AE46" s="738">
        <v>0</v>
      </c>
      <c r="AF46" s="738">
        <v>0</v>
      </c>
      <c r="AG46" s="738">
        <v>0</v>
      </c>
      <c r="AH46" s="739">
        <f t="shared" si="110"/>
        <v>1</v>
      </c>
      <c r="AI46" s="740">
        <f t="shared" si="111"/>
        <v>0</v>
      </c>
      <c r="AJ46" s="740">
        <f t="shared" si="112"/>
        <v>0</v>
      </c>
      <c r="AK46" s="740">
        <f t="shared" si="113"/>
        <v>0</v>
      </c>
      <c r="AL46" s="740">
        <f t="shared" si="114"/>
        <v>0</v>
      </c>
      <c r="AM46" s="740">
        <f t="shared" si="179"/>
        <v>0</v>
      </c>
      <c r="AN46" s="740">
        <f t="shared" si="179"/>
        <v>0</v>
      </c>
      <c r="AO46" s="740">
        <f t="shared" si="179"/>
        <v>0</v>
      </c>
      <c r="AP46" s="740">
        <f t="shared" si="179"/>
        <v>0</v>
      </c>
      <c r="AQ46" s="740">
        <f t="shared" si="179"/>
        <v>0</v>
      </c>
      <c r="AR46" s="740">
        <f t="shared" si="115"/>
        <v>0</v>
      </c>
      <c r="AS46" s="740">
        <f t="shared" si="116"/>
        <v>0</v>
      </c>
      <c r="AT46" s="740">
        <f t="shared" si="117"/>
        <v>0</v>
      </c>
      <c r="AU46" s="740">
        <f t="shared" si="118"/>
        <v>0</v>
      </c>
      <c r="AV46" s="740">
        <f t="shared" si="119"/>
        <v>0</v>
      </c>
      <c r="AW46" s="740">
        <f t="shared" si="120"/>
        <v>0</v>
      </c>
      <c r="AX46" s="740">
        <f t="shared" si="121"/>
        <v>0</v>
      </c>
      <c r="AY46" s="740">
        <f t="shared" si="122"/>
        <v>0</v>
      </c>
      <c r="AZ46" s="740">
        <f t="shared" si="123"/>
        <v>0</v>
      </c>
      <c r="BA46" s="740">
        <f t="shared" si="124"/>
        <v>0</v>
      </c>
      <c r="BB46" s="740">
        <f t="shared" si="125"/>
        <v>0</v>
      </c>
      <c r="BC46" s="740">
        <f t="shared" si="126"/>
        <v>0</v>
      </c>
      <c r="BD46" s="740">
        <f t="shared" si="127"/>
        <v>0</v>
      </c>
      <c r="BE46" s="741">
        <f t="shared" si="128"/>
        <v>0</v>
      </c>
      <c r="BF46" s="740">
        <f t="shared" si="129"/>
        <v>0</v>
      </c>
      <c r="BG46" s="740">
        <f t="shared" si="130"/>
        <v>0</v>
      </c>
      <c r="BH46" s="740">
        <f t="shared" si="131"/>
        <v>0</v>
      </c>
      <c r="BI46" s="740">
        <f t="shared" si="180"/>
        <v>0</v>
      </c>
      <c r="BJ46" s="740">
        <f t="shared" si="180"/>
        <v>0</v>
      </c>
      <c r="BK46" s="740">
        <f t="shared" si="180"/>
        <v>0</v>
      </c>
      <c r="BL46" s="740">
        <f t="shared" si="180"/>
        <v>0</v>
      </c>
      <c r="BM46" s="740">
        <f t="shared" si="180"/>
        <v>0</v>
      </c>
      <c r="BN46" s="740">
        <f t="shared" si="132"/>
        <v>0</v>
      </c>
      <c r="BO46" s="740">
        <f t="shared" si="133"/>
        <v>0</v>
      </c>
      <c r="BP46" s="740">
        <f t="shared" si="134"/>
        <v>0</v>
      </c>
      <c r="BQ46" s="740">
        <f t="shared" si="135"/>
        <v>0</v>
      </c>
      <c r="BR46" s="740">
        <f t="shared" si="136"/>
        <v>0</v>
      </c>
      <c r="BS46" s="740">
        <f t="shared" si="137"/>
        <v>0</v>
      </c>
      <c r="BT46" s="740">
        <f t="shared" si="138"/>
        <v>0</v>
      </c>
      <c r="BU46" s="740">
        <f t="shared" si="139"/>
        <v>0</v>
      </c>
      <c r="BV46" s="740">
        <f t="shared" si="140"/>
        <v>0</v>
      </c>
      <c r="BW46" s="740">
        <f t="shared" si="141"/>
        <v>0</v>
      </c>
      <c r="BX46" s="740">
        <f t="shared" si="142"/>
        <v>0</v>
      </c>
      <c r="BY46" s="740">
        <f t="shared" si="143"/>
        <v>0</v>
      </c>
      <c r="BZ46" s="740">
        <f t="shared" si="144"/>
        <v>0</v>
      </c>
      <c r="CA46" s="741">
        <f t="shared" si="145"/>
        <v>0</v>
      </c>
      <c r="CB46" s="740">
        <f t="shared" si="146"/>
        <v>0</v>
      </c>
      <c r="CC46" s="740">
        <f t="shared" si="147"/>
        <v>0</v>
      </c>
      <c r="CD46" s="740">
        <f t="shared" si="148"/>
        <v>0</v>
      </c>
      <c r="CE46" s="740">
        <f t="shared" si="181"/>
        <v>0</v>
      </c>
      <c r="CF46" s="740">
        <f t="shared" si="181"/>
        <v>0</v>
      </c>
      <c r="CG46" s="740">
        <f t="shared" si="181"/>
        <v>0</v>
      </c>
      <c r="CH46" s="740">
        <f t="shared" si="181"/>
        <v>0</v>
      </c>
      <c r="CI46" s="740">
        <f t="shared" si="181"/>
        <v>0</v>
      </c>
      <c r="CJ46" s="740">
        <f t="shared" si="149"/>
        <v>0</v>
      </c>
      <c r="CK46" s="740">
        <f t="shared" si="150"/>
        <v>0</v>
      </c>
      <c r="CL46" s="740">
        <f t="shared" si="151"/>
        <v>0</v>
      </c>
      <c r="CM46" s="740">
        <f t="shared" si="152"/>
        <v>0</v>
      </c>
      <c r="CN46" s="740">
        <f t="shared" si="153"/>
        <v>0</v>
      </c>
      <c r="CO46" s="740">
        <f t="shared" si="154"/>
        <v>0</v>
      </c>
      <c r="CP46" s="740">
        <f t="shared" si="155"/>
        <v>0</v>
      </c>
      <c r="CQ46" s="740">
        <f t="shared" si="156"/>
        <v>0</v>
      </c>
      <c r="CR46" s="740">
        <f t="shared" si="157"/>
        <v>0</v>
      </c>
      <c r="CS46" s="740">
        <f t="shared" si="158"/>
        <v>0</v>
      </c>
      <c r="CT46" s="740">
        <f t="shared" si="159"/>
        <v>0</v>
      </c>
      <c r="CU46" s="740">
        <f t="shared" si="160"/>
        <v>0</v>
      </c>
      <c r="CV46" s="740">
        <f t="shared" si="161"/>
        <v>0</v>
      </c>
      <c r="CW46" s="741">
        <f t="shared" si="162"/>
        <v>0</v>
      </c>
      <c r="CX46" s="740">
        <f t="shared" si="163"/>
        <v>0</v>
      </c>
      <c r="CY46" s="740">
        <f t="shared" si="164"/>
        <v>0</v>
      </c>
      <c r="CZ46" s="740">
        <f t="shared" si="165"/>
        <v>0</v>
      </c>
      <c r="DA46" s="740">
        <f t="shared" si="182"/>
        <v>0</v>
      </c>
      <c r="DB46" s="740">
        <f t="shared" si="182"/>
        <v>0</v>
      </c>
      <c r="DC46" s="740">
        <f t="shared" si="182"/>
        <v>0</v>
      </c>
      <c r="DD46" s="740">
        <f t="shared" si="182"/>
        <v>0</v>
      </c>
      <c r="DE46" s="740">
        <f t="shared" si="182"/>
        <v>0</v>
      </c>
      <c r="DF46" s="740">
        <f t="shared" si="166"/>
        <v>0</v>
      </c>
      <c r="DG46" s="740">
        <f t="shared" si="167"/>
        <v>0</v>
      </c>
      <c r="DH46" s="740">
        <f t="shared" si="168"/>
        <v>0</v>
      </c>
      <c r="DI46" s="740">
        <f t="shared" si="169"/>
        <v>0</v>
      </c>
      <c r="DJ46" s="740">
        <f t="shared" si="170"/>
        <v>0</v>
      </c>
      <c r="DK46" s="740">
        <f t="shared" si="171"/>
        <v>0</v>
      </c>
      <c r="DL46" s="740">
        <f t="shared" si="172"/>
        <v>0</v>
      </c>
      <c r="DM46" s="740">
        <f t="shared" si="173"/>
        <v>0</v>
      </c>
      <c r="DN46" s="740">
        <f t="shared" si="174"/>
        <v>0</v>
      </c>
      <c r="DO46" s="740">
        <f t="shared" si="175"/>
        <v>0</v>
      </c>
      <c r="DP46" s="740">
        <f t="shared" si="176"/>
        <v>0</v>
      </c>
      <c r="DQ46" s="740">
        <f t="shared" si="177"/>
        <v>0</v>
      </c>
      <c r="DR46" s="742">
        <f t="shared" si="178"/>
        <v>0</v>
      </c>
    </row>
    <row r="47" spans="2:122" s="732" customFormat="1" ht="13.8" thickBot="1" x14ac:dyDescent="0.3">
      <c r="B47" s="730" t="str">
        <f>'Gårdens info'!C96</f>
        <v>trädgårdsproduktion maskin X</v>
      </c>
      <c r="C47" s="733"/>
      <c r="D47" s="734"/>
      <c r="E47" s="733">
        <f>'Gårdens info'!J96</f>
        <v>0</v>
      </c>
      <c r="F47" s="730"/>
      <c r="G47" s="730"/>
      <c r="H47" s="735">
        <v>15</v>
      </c>
      <c r="I47" s="732">
        <f>'Gårdens info'!D96</f>
        <v>0</v>
      </c>
      <c r="J47" s="735">
        <v>0</v>
      </c>
      <c r="K47" s="736">
        <v>0.03</v>
      </c>
      <c r="L47" s="738">
        <f>'Gårdens info'!$D$10/('Gårdens info'!$D$10+'Gårdens info'!$D$11+'Gårdens info'!$D$12+'Gårdens info'!$D$13+'Gårdens info'!$D$22+'Gårdens info'!$D$23+'Gårdens info'!$D$24+'Gårdens info'!$D$25+'Gårdens info'!$D$26+'Gårdens info'!$D$27+'Gårdens info'!$D$28)</f>
        <v>4.1666666666666664E-2</v>
      </c>
      <c r="M47" s="738">
        <f>'Gårdens info'!$D$11/('Gårdens info'!$D$10+'Gårdens info'!$D$11+'Gårdens info'!$D$12+'Gårdens info'!$D$13+'Gårdens info'!$D$22+'Gårdens info'!$D$23+'Gårdens info'!$D$24+'Gårdens info'!$D$25+'Gårdens info'!$D$26+'Gårdens info'!$D$27+'Gårdens info'!$D$28)</f>
        <v>4.1666666666666664E-2</v>
      </c>
      <c r="N47" s="738">
        <f>'Gårdens info'!$D$12/('Gårdens info'!$D$10+'Gårdens info'!$D$11+'Gårdens info'!$D$12+'Gårdens info'!$D$13+'Gårdens info'!$D$22+'Gårdens info'!$D$23+'Gårdens info'!$D$24+'Gårdens info'!$D$25+'Gårdens info'!$D$26+'Gårdens info'!$D$27+'Gårdens info'!$D$28)</f>
        <v>4.1666666666666664E-2</v>
      </c>
      <c r="O47" s="738">
        <f>'Gårdens info'!$D$13/('Gårdens info'!$D$10+'Gårdens info'!$D$11+'Gårdens info'!$D$12+'Gårdens info'!$D$13+'Gårdens info'!$D$22+'Gårdens info'!$D$23+'Gårdens info'!$D$24+'Gårdens info'!$D$25+'Gårdens info'!$D$26+'Gårdens info'!$D$27+'Gårdens info'!$D$28)</f>
        <v>4.1666666666666664E-2</v>
      </c>
      <c r="P47" s="738">
        <f>'Gårdens info'!$D$14/('Gårdens info'!$D$10+'Gårdens info'!$D$11+'Gårdens info'!$D$12+'Gårdens info'!$D$13+'Gårdens info'!$D$22+'Gårdens info'!$D$23+'Gårdens info'!$D$24+'Gårdens info'!$D$25+'Gårdens info'!$D$26+'Gårdens info'!$D$27+'Gårdens info'!$D$28)</f>
        <v>0</v>
      </c>
      <c r="Q47" s="738">
        <f>'Gårdens info'!$D$15/('Gårdens info'!$D$10+'Gårdens info'!$D$11+'Gårdens info'!$D$12+'Gårdens info'!$D$13+'Gårdens info'!$D$22+'Gårdens info'!$D$23+'Gårdens info'!$D$24+'Gårdens info'!$D$25+'Gårdens info'!$D$26+'Gårdens info'!$D$27+'Gårdens info'!$D$28)</f>
        <v>0</v>
      </c>
      <c r="R47" s="738">
        <f>'Gårdens info'!$D$16/('Gårdens info'!$D$10+'Gårdens info'!$D$11+'Gårdens info'!$D$12+'Gårdens info'!$D$13+'Gårdens info'!$D$22+'Gårdens info'!$D$23+'Gårdens info'!$D$24+'Gårdens info'!$D$25+'Gårdens info'!$D$26+'Gårdens info'!$D$27+'Gårdens info'!$D$28)</f>
        <v>0</v>
      </c>
      <c r="S47" s="738">
        <f>'Gårdens info'!$D$17/('Gårdens info'!$D$10+'Gårdens info'!$D$11+'Gårdens info'!$D$12+'Gårdens info'!$D$13+'Gårdens info'!$D$22+'Gårdens info'!$D$23+'Gårdens info'!$D$24+'Gårdens info'!$D$25+'Gårdens info'!$D$26+'Gårdens info'!$D$27+'Gårdens info'!$D$28)</f>
        <v>0</v>
      </c>
      <c r="T47" s="738">
        <f>'Gårdens info'!$D$18/('Gårdens info'!$D$10+'Gårdens info'!$D$11+'Gårdens info'!$D$12+'Gårdens info'!$D$13+'Gårdens info'!$D$22+'Gårdens info'!$D$23+'Gårdens info'!$D$24+'Gårdens info'!$D$25+'Gårdens info'!$D$26+'Gårdens info'!$D$27+'Gårdens info'!$D$28)</f>
        <v>0</v>
      </c>
      <c r="U47" s="738">
        <f>'Gårdens info'!$D$22/('Gårdens info'!$D$10+'Gårdens info'!$D$11+'Gårdens info'!$D$12+'Gårdens info'!$D$13+'Gårdens info'!$D$22+'Gårdens info'!$D$23+'Gårdens info'!$D$24+'Gårdens info'!$D$25+'Gårdens info'!$D$26+'Gårdens info'!$D$27+'Gårdens info'!$D$28)</f>
        <v>0.20833333333333334</v>
      </c>
      <c r="V47" s="738">
        <f>'Gårdens info'!$D$23/('Gårdens info'!$D$10+'Gårdens info'!$D$11+'Gårdens info'!$D$12+'Gårdens info'!$D$13+'Gårdens info'!$D$22+'Gårdens info'!$D$23+'Gårdens info'!$D$24+'Gårdens info'!$D$25+'Gårdens info'!$D$26+'Gårdens info'!$D$27+'Gårdens info'!$D$28)</f>
        <v>4.1666666666666664E-2</v>
      </c>
      <c r="W47" s="738">
        <f>'Gårdens info'!$D$24/('Gårdens info'!$D$10+'Gårdens info'!$D$11+'Gårdens info'!$D$12+'Gårdens info'!$D$13+'Gårdens info'!$D$22+'Gårdens info'!$D$23+'Gårdens info'!$D$24+'Gårdens info'!$D$25+'Gårdens info'!$D$26+'Gårdens info'!$D$27+'Gårdens info'!$D$28)</f>
        <v>0.16666666666666666</v>
      </c>
      <c r="X47" s="738">
        <f>'Gårdens info'!$D$25/('Gårdens info'!$D$10+'Gårdens info'!$D$11+'Gårdens info'!$D$12+'Gårdens info'!$D$13+'Gårdens info'!$D$22+'Gårdens info'!$D$23+'Gårdens info'!$D$24+'Gårdens info'!$D$25+'Gårdens info'!$D$26+'Gårdens info'!$D$27+'Gårdens info'!$D$28)</f>
        <v>4.1666666666666664E-2</v>
      </c>
      <c r="Y47" s="738">
        <f>'Gårdens info'!$D$26/('Gårdens info'!$D$10+'Gårdens info'!$D$11+'Gårdens info'!$D$12+'Gårdens info'!$D$13+'Gårdens info'!$D$22+'Gårdens info'!$D$23+'Gårdens info'!$D$24+'Gårdens info'!$D$25+'Gårdens info'!$D$26+'Gårdens info'!$D$27+'Gårdens info'!$D$28)</f>
        <v>0.20833333333333334</v>
      </c>
      <c r="Z47" s="738">
        <f>'Gårdens info'!$D$27/('Gårdens info'!$D$10+'Gårdens info'!$D$11+'Gårdens info'!$D$12+'Gårdens info'!$D$13+'Gårdens info'!$D$22+'Gårdens info'!$D$23+'Gårdens info'!$D$24+'Gårdens info'!$D$25+'Gårdens info'!$D$26+'Gårdens info'!$D$27+'Gårdens info'!$D$28)</f>
        <v>4.1666666666666664E-2</v>
      </c>
      <c r="AA47" s="738">
        <f>'Gårdens info'!$D$28/('Gårdens info'!$D$10+'Gårdens info'!$D$11+'Gårdens info'!$D$12+'Gårdens info'!$D$13+'Gårdens info'!$D$22+'Gårdens info'!$D$23+'Gårdens info'!$D$24+'Gårdens info'!$D$25+'Gårdens info'!$D$26+'Gårdens info'!$D$27+'Gårdens info'!$D$28)</f>
        <v>0.125</v>
      </c>
      <c r="AB47" s="738">
        <v>0</v>
      </c>
      <c r="AC47" s="738">
        <v>0</v>
      </c>
      <c r="AD47" s="738">
        <v>0</v>
      </c>
      <c r="AE47" s="738">
        <v>0</v>
      </c>
      <c r="AF47" s="738">
        <v>0</v>
      </c>
      <c r="AG47" s="738">
        <v>0</v>
      </c>
      <c r="AH47" s="739">
        <f t="shared" si="110"/>
        <v>1</v>
      </c>
      <c r="AI47" s="21">
        <f t="shared" si="111"/>
        <v>0</v>
      </c>
      <c r="AJ47" s="21">
        <f t="shared" si="112"/>
        <v>0</v>
      </c>
      <c r="AK47" s="21">
        <f t="shared" si="113"/>
        <v>0</v>
      </c>
      <c r="AL47" s="21">
        <f t="shared" si="114"/>
        <v>0</v>
      </c>
      <c r="AM47" s="21">
        <f t="shared" si="179"/>
        <v>0</v>
      </c>
      <c r="AN47" s="21">
        <f t="shared" si="179"/>
        <v>0</v>
      </c>
      <c r="AO47" s="21">
        <f t="shared" si="179"/>
        <v>0</v>
      </c>
      <c r="AP47" s="21">
        <f t="shared" si="179"/>
        <v>0</v>
      </c>
      <c r="AQ47" s="21">
        <f t="shared" si="179"/>
        <v>0</v>
      </c>
      <c r="AR47" s="21">
        <f t="shared" si="115"/>
        <v>0</v>
      </c>
      <c r="AS47" s="21">
        <f t="shared" si="116"/>
        <v>0</v>
      </c>
      <c r="AT47" s="21">
        <f t="shared" si="117"/>
        <v>0</v>
      </c>
      <c r="AU47" s="21">
        <f t="shared" si="118"/>
        <v>0</v>
      </c>
      <c r="AV47" s="21">
        <f t="shared" si="119"/>
        <v>0</v>
      </c>
      <c r="AW47" s="21">
        <f t="shared" si="120"/>
        <v>0</v>
      </c>
      <c r="AX47" s="21">
        <f t="shared" si="121"/>
        <v>0</v>
      </c>
      <c r="AY47" s="21">
        <f t="shared" si="122"/>
        <v>0</v>
      </c>
      <c r="AZ47" s="21">
        <f t="shared" si="123"/>
        <v>0</v>
      </c>
      <c r="BA47" s="21">
        <f t="shared" si="124"/>
        <v>0</v>
      </c>
      <c r="BB47" s="21">
        <f t="shared" si="125"/>
        <v>0</v>
      </c>
      <c r="BC47" s="21">
        <f t="shared" si="126"/>
        <v>0</v>
      </c>
      <c r="BD47" s="21">
        <f t="shared" si="127"/>
        <v>0</v>
      </c>
      <c r="BE47" s="21">
        <f>IF(($C$7-$E47&lt;=$H47),(($I47+$J47)/2*$C$8*L47),0)</f>
        <v>0</v>
      </c>
      <c r="BF47" s="21">
        <f t="shared" si="129"/>
        <v>0</v>
      </c>
      <c r="BG47" s="21">
        <f t="shared" si="130"/>
        <v>0</v>
      </c>
      <c r="BH47" s="21">
        <f t="shared" si="131"/>
        <v>0</v>
      </c>
      <c r="BI47" s="21">
        <f t="shared" si="180"/>
        <v>0</v>
      </c>
      <c r="BJ47" s="21">
        <f t="shared" si="180"/>
        <v>0</v>
      </c>
      <c r="BK47" s="21">
        <f t="shared" si="180"/>
        <v>0</v>
      </c>
      <c r="BL47" s="21">
        <f t="shared" si="180"/>
        <v>0</v>
      </c>
      <c r="BM47" s="21">
        <f t="shared" si="180"/>
        <v>0</v>
      </c>
      <c r="BN47" s="21">
        <f t="shared" si="132"/>
        <v>0</v>
      </c>
      <c r="BO47" s="21">
        <f t="shared" si="133"/>
        <v>0</v>
      </c>
      <c r="BP47" s="21">
        <f t="shared" si="134"/>
        <v>0</v>
      </c>
      <c r="BQ47" s="21">
        <f t="shared" si="135"/>
        <v>0</v>
      </c>
      <c r="BR47" s="21">
        <f t="shared" si="136"/>
        <v>0</v>
      </c>
      <c r="BS47" s="21">
        <f t="shared" si="137"/>
        <v>0</v>
      </c>
      <c r="BT47" s="21">
        <f t="shared" si="138"/>
        <v>0</v>
      </c>
      <c r="BU47" s="21">
        <f t="shared" si="139"/>
        <v>0</v>
      </c>
      <c r="BV47" s="21">
        <f t="shared" si="140"/>
        <v>0</v>
      </c>
      <c r="BW47" s="21">
        <f t="shared" si="141"/>
        <v>0</v>
      </c>
      <c r="BX47" s="21">
        <f t="shared" si="142"/>
        <v>0</v>
      </c>
      <c r="BY47" s="21">
        <f t="shared" si="143"/>
        <v>0</v>
      </c>
      <c r="BZ47" s="21">
        <f t="shared" si="144"/>
        <v>0</v>
      </c>
      <c r="CA47" s="21">
        <f>$I47*$K47*L47</f>
        <v>0</v>
      </c>
      <c r="CB47" s="21">
        <f t="shared" si="146"/>
        <v>0</v>
      </c>
      <c r="CC47" s="21">
        <f t="shared" si="147"/>
        <v>0</v>
      </c>
      <c r="CD47" s="21">
        <f t="shared" si="148"/>
        <v>0</v>
      </c>
      <c r="CE47" s="21">
        <f t="shared" si="181"/>
        <v>0</v>
      </c>
      <c r="CF47" s="21">
        <f t="shared" si="181"/>
        <v>0</v>
      </c>
      <c r="CG47" s="21">
        <f t="shared" si="181"/>
        <v>0</v>
      </c>
      <c r="CH47" s="21">
        <f t="shared" si="181"/>
        <v>0</v>
      </c>
      <c r="CI47" s="21">
        <f t="shared" si="181"/>
        <v>0</v>
      </c>
      <c r="CJ47" s="21">
        <f t="shared" si="149"/>
        <v>0</v>
      </c>
      <c r="CK47" s="21">
        <f t="shared" si="150"/>
        <v>0</v>
      </c>
      <c r="CL47" s="21">
        <f t="shared" si="151"/>
        <v>0</v>
      </c>
      <c r="CM47" s="21">
        <f t="shared" si="152"/>
        <v>0</v>
      </c>
      <c r="CN47" s="21">
        <f t="shared" si="153"/>
        <v>0</v>
      </c>
      <c r="CO47" s="21">
        <f t="shared" si="154"/>
        <v>0</v>
      </c>
      <c r="CP47" s="21">
        <f t="shared" si="155"/>
        <v>0</v>
      </c>
      <c r="CQ47" s="21">
        <f t="shared" si="156"/>
        <v>0</v>
      </c>
      <c r="CR47" s="21">
        <f t="shared" si="157"/>
        <v>0</v>
      </c>
      <c r="CS47" s="21">
        <f t="shared" si="158"/>
        <v>0</v>
      </c>
      <c r="CT47" s="21">
        <f t="shared" si="159"/>
        <v>0</v>
      </c>
      <c r="CU47" s="21">
        <f t="shared" si="160"/>
        <v>0</v>
      </c>
      <c r="CV47" s="21">
        <f t="shared" si="161"/>
        <v>0</v>
      </c>
      <c r="CW47" s="21">
        <f>$I47*$C$9*L47</f>
        <v>0</v>
      </c>
      <c r="CX47" s="21">
        <f t="shared" si="163"/>
        <v>0</v>
      </c>
      <c r="CY47" s="21">
        <f t="shared" si="164"/>
        <v>0</v>
      </c>
      <c r="CZ47" s="21">
        <f t="shared" si="165"/>
        <v>0</v>
      </c>
      <c r="DA47" s="21">
        <f t="shared" si="182"/>
        <v>0</v>
      </c>
      <c r="DB47" s="21">
        <f t="shared" si="182"/>
        <v>0</v>
      </c>
      <c r="DC47" s="21">
        <f t="shared" si="182"/>
        <v>0</v>
      </c>
      <c r="DD47" s="21">
        <f t="shared" si="182"/>
        <v>0</v>
      </c>
      <c r="DE47" s="21">
        <f t="shared" si="182"/>
        <v>0</v>
      </c>
      <c r="DF47" s="21">
        <f t="shared" si="166"/>
        <v>0</v>
      </c>
      <c r="DG47" s="21">
        <f t="shared" si="167"/>
        <v>0</v>
      </c>
      <c r="DH47" s="21">
        <f t="shared" si="168"/>
        <v>0</v>
      </c>
      <c r="DI47" s="21">
        <f t="shared" si="169"/>
        <v>0</v>
      </c>
      <c r="DJ47" s="21">
        <f t="shared" si="170"/>
        <v>0</v>
      </c>
      <c r="DK47" s="21">
        <f t="shared" si="171"/>
        <v>0</v>
      </c>
      <c r="DL47" s="21">
        <f t="shared" si="172"/>
        <v>0</v>
      </c>
      <c r="DM47" s="21">
        <f t="shared" si="173"/>
        <v>0</v>
      </c>
      <c r="DN47" s="21">
        <f t="shared" si="174"/>
        <v>0</v>
      </c>
      <c r="DO47" s="21">
        <f t="shared" si="175"/>
        <v>0</v>
      </c>
      <c r="DP47" s="21">
        <f t="shared" si="176"/>
        <v>0</v>
      </c>
      <c r="DQ47" s="21">
        <f t="shared" si="177"/>
        <v>0</v>
      </c>
      <c r="DR47" s="21">
        <f t="shared" si="178"/>
        <v>0</v>
      </c>
    </row>
    <row r="48" spans="2:122" s="732" customFormat="1" ht="13.8" thickBot="1" x14ac:dyDescent="0.3">
      <c r="B48" s="730" t="str">
        <f>'Gårdens info'!C97</f>
        <v>trädgårdsproduktion maskin X</v>
      </c>
      <c r="C48" s="733"/>
      <c r="D48" s="734"/>
      <c r="E48" s="733">
        <f>'Gårdens info'!J97</f>
        <v>0</v>
      </c>
      <c r="F48" s="730"/>
      <c r="G48" s="730"/>
      <c r="H48" s="735">
        <v>15</v>
      </c>
      <c r="I48" s="732">
        <f>'Gårdens info'!D97</f>
        <v>0</v>
      </c>
      <c r="J48" s="735">
        <f t="shared" ref="J48" si="183">C48*0.1</f>
        <v>0</v>
      </c>
      <c r="K48" s="736">
        <v>0.03</v>
      </c>
      <c r="L48" s="738">
        <f>'Gårdens info'!$D$10/('Gårdens info'!$D$10+'Gårdens info'!$D$11+'Gårdens info'!$D$12+'Gårdens info'!$D$13+'Gårdens info'!$D$22+'Gårdens info'!$D$23+'Gårdens info'!$D$24+'Gårdens info'!$D$25+'Gårdens info'!$D$26+'Gårdens info'!$D$27+'Gårdens info'!$D$28)</f>
        <v>4.1666666666666664E-2</v>
      </c>
      <c r="M48" s="738">
        <f>'Gårdens info'!$D$11/('Gårdens info'!$D$10+'Gårdens info'!$D$11+'Gårdens info'!$D$12+'Gårdens info'!$D$13+'Gårdens info'!$D$22+'Gårdens info'!$D$23+'Gårdens info'!$D$24+'Gårdens info'!$D$25+'Gårdens info'!$D$26+'Gårdens info'!$D$27+'Gårdens info'!$D$28)</f>
        <v>4.1666666666666664E-2</v>
      </c>
      <c r="N48" s="738">
        <f>'Gårdens info'!$D$12/('Gårdens info'!$D$10+'Gårdens info'!$D$11+'Gårdens info'!$D$12+'Gårdens info'!$D$13+'Gårdens info'!$D$22+'Gårdens info'!$D$23+'Gårdens info'!$D$24+'Gårdens info'!$D$25+'Gårdens info'!$D$26+'Gårdens info'!$D$27+'Gårdens info'!$D$28)</f>
        <v>4.1666666666666664E-2</v>
      </c>
      <c r="O48" s="738">
        <f>'Gårdens info'!$D$13/('Gårdens info'!$D$10+'Gårdens info'!$D$11+'Gårdens info'!$D$12+'Gårdens info'!$D$13+'Gårdens info'!$D$22+'Gårdens info'!$D$23+'Gårdens info'!$D$24+'Gårdens info'!$D$25+'Gårdens info'!$D$26+'Gårdens info'!$D$27+'Gårdens info'!$D$28)</f>
        <v>4.1666666666666664E-2</v>
      </c>
      <c r="P48" s="738">
        <f>'Gårdens info'!$D$14/('Gårdens info'!$D$10+'Gårdens info'!$D$11+'Gårdens info'!$D$12+'Gårdens info'!$D$13+'Gårdens info'!$D$22+'Gårdens info'!$D$23+'Gårdens info'!$D$24+'Gårdens info'!$D$25+'Gårdens info'!$D$26+'Gårdens info'!$D$27+'Gårdens info'!$D$28)</f>
        <v>0</v>
      </c>
      <c r="Q48" s="738">
        <f>'Gårdens info'!$D$15/('Gårdens info'!$D$10+'Gårdens info'!$D$11+'Gårdens info'!$D$12+'Gårdens info'!$D$13+'Gårdens info'!$D$22+'Gårdens info'!$D$23+'Gårdens info'!$D$24+'Gårdens info'!$D$25+'Gårdens info'!$D$26+'Gårdens info'!$D$27+'Gårdens info'!$D$28)</f>
        <v>0</v>
      </c>
      <c r="R48" s="738">
        <f>'Gårdens info'!$D$16/('Gårdens info'!$D$10+'Gårdens info'!$D$11+'Gårdens info'!$D$12+'Gårdens info'!$D$13+'Gårdens info'!$D$22+'Gårdens info'!$D$23+'Gårdens info'!$D$24+'Gårdens info'!$D$25+'Gårdens info'!$D$26+'Gårdens info'!$D$27+'Gårdens info'!$D$28)</f>
        <v>0</v>
      </c>
      <c r="S48" s="738">
        <f>'Gårdens info'!$D$17/('Gårdens info'!$D$10+'Gårdens info'!$D$11+'Gårdens info'!$D$12+'Gårdens info'!$D$13+'Gårdens info'!$D$22+'Gårdens info'!$D$23+'Gårdens info'!$D$24+'Gårdens info'!$D$25+'Gårdens info'!$D$26+'Gårdens info'!$D$27+'Gårdens info'!$D$28)</f>
        <v>0</v>
      </c>
      <c r="T48" s="738">
        <f>'Gårdens info'!$D$18/('Gårdens info'!$D$10+'Gårdens info'!$D$11+'Gårdens info'!$D$12+'Gårdens info'!$D$13+'Gårdens info'!$D$22+'Gårdens info'!$D$23+'Gårdens info'!$D$24+'Gårdens info'!$D$25+'Gårdens info'!$D$26+'Gårdens info'!$D$27+'Gårdens info'!$D$28)</f>
        <v>0</v>
      </c>
      <c r="U48" s="738">
        <f>'Gårdens info'!$D$22/('Gårdens info'!$D$10+'Gårdens info'!$D$11+'Gårdens info'!$D$12+'Gårdens info'!$D$13+'Gårdens info'!$D$22+'Gårdens info'!$D$23+'Gårdens info'!$D$24+'Gårdens info'!$D$25+'Gårdens info'!$D$26+'Gårdens info'!$D$27+'Gårdens info'!$D$28)</f>
        <v>0.20833333333333334</v>
      </c>
      <c r="V48" s="738">
        <f>'Gårdens info'!$D$23/('Gårdens info'!$D$10+'Gårdens info'!$D$11+'Gårdens info'!$D$12+'Gårdens info'!$D$13+'Gårdens info'!$D$22+'Gårdens info'!$D$23+'Gårdens info'!$D$24+'Gårdens info'!$D$25+'Gårdens info'!$D$26+'Gårdens info'!$D$27+'Gårdens info'!$D$28)</f>
        <v>4.1666666666666664E-2</v>
      </c>
      <c r="W48" s="738">
        <f>'Gårdens info'!$D$24/('Gårdens info'!$D$10+'Gårdens info'!$D$11+'Gårdens info'!$D$12+'Gårdens info'!$D$13+'Gårdens info'!$D$22+'Gårdens info'!$D$23+'Gårdens info'!$D$24+'Gårdens info'!$D$25+'Gårdens info'!$D$26+'Gårdens info'!$D$27+'Gårdens info'!$D$28)</f>
        <v>0.16666666666666666</v>
      </c>
      <c r="X48" s="738">
        <f>'Gårdens info'!$D$25/('Gårdens info'!$D$10+'Gårdens info'!$D$11+'Gårdens info'!$D$12+'Gårdens info'!$D$13+'Gårdens info'!$D$22+'Gårdens info'!$D$23+'Gårdens info'!$D$24+'Gårdens info'!$D$25+'Gårdens info'!$D$26+'Gårdens info'!$D$27+'Gårdens info'!$D$28)</f>
        <v>4.1666666666666664E-2</v>
      </c>
      <c r="Y48" s="738">
        <f>'Gårdens info'!$D$26/('Gårdens info'!$D$10+'Gårdens info'!$D$11+'Gårdens info'!$D$12+'Gårdens info'!$D$13+'Gårdens info'!$D$22+'Gårdens info'!$D$23+'Gårdens info'!$D$24+'Gårdens info'!$D$25+'Gårdens info'!$D$26+'Gårdens info'!$D$27+'Gårdens info'!$D$28)</f>
        <v>0.20833333333333334</v>
      </c>
      <c r="Z48" s="738">
        <f>'Gårdens info'!$D$27/('Gårdens info'!$D$10+'Gårdens info'!$D$11+'Gårdens info'!$D$12+'Gårdens info'!$D$13+'Gårdens info'!$D$22+'Gårdens info'!$D$23+'Gårdens info'!$D$24+'Gårdens info'!$D$25+'Gårdens info'!$D$26+'Gårdens info'!$D$27+'Gårdens info'!$D$28)</f>
        <v>4.1666666666666664E-2</v>
      </c>
      <c r="AA48" s="738">
        <f>'Gårdens info'!$D$28/('Gårdens info'!$D$10+'Gårdens info'!$D$11+'Gårdens info'!$D$12+'Gårdens info'!$D$13+'Gårdens info'!$D$22+'Gårdens info'!$D$23+'Gårdens info'!$D$24+'Gårdens info'!$D$25+'Gårdens info'!$D$26+'Gårdens info'!$D$27+'Gårdens info'!$D$28)</f>
        <v>0.125</v>
      </c>
      <c r="AB48" s="738">
        <v>0</v>
      </c>
      <c r="AC48" s="738">
        <v>0</v>
      </c>
      <c r="AD48" s="738">
        <v>0</v>
      </c>
      <c r="AE48" s="738">
        <v>0</v>
      </c>
      <c r="AF48" s="738">
        <v>0</v>
      </c>
      <c r="AG48" s="738">
        <v>0</v>
      </c>
      <c r="AH48" s="739">
        <f t="shared" si="110"/>
        <v>1</v>
      </c>
      <c r="AI48" s="21">
        <f t="shared" si="111"/>
        <v>0</v>
      </c>
      <c r="AJ48" s="21">
        <f t="shared" si="112"/>
        <v>0</v>
      </c>
      <c r="AK48" s="21">
        <f t="shared" si="113"/>
        <v>0</v>
      </c>
      <c r="AL48" s="21">
        <f t="shared" si="114"/>
        <v>0</v>
      </c>
      <c r="AM48" s="21">
        <f t="shared" si="179"/>
        <v>0</v>
      </c>
      <c r="AN48" s="21">
        <f t="shared" si="179"/>
        <v>0</v>
      </c>
      <c r="AO48" s="21">
        <f t="shared" si="179"/>
        <v>0</v>
      </c>
      <c r="AP48" s="21">
        <f t="shared" si="179"/>
        <v>0</v>
      </c>
      <c r="AQ48" s="21">
        <f t="shared" si="179"/>
        <v>0</v>
      </c>
      <c r="AR48" s="21">
        <f t="shared" si="115"/>
        <v>0</v>
      </c>
      <c r="AS48" s="21">
        <f t="shared" si="116"/>
        <v>0</v>
      </c>
      <c r="AT48" s="21">
        <f t="shared" si="117"/>
        <v>0</v>
      </c>
      <c r="AU48" s="21">
        <f t="shared" si="118"/>
        <v>0</v>
      </c>
      <c r="AV48" s="21">
        <f t="shared" si="119"/>
        <v>0</v>
      </c>
      <c r="AW48" s="21">
        <f t="shared" si="120"/>
        <v>0</v>
      </c>
      <c r="AX48" s="21">
        <f t="shared" si="121"/>
        <v>0</v>
      </c>
      <c r="AY48" s="21">
        <f t="shared" si="122"/>
        <v>0</v>
      </c>
      <c r="AZ48" s="21">
        <f t="shared" si="123"/>
        <v>0</v>
      </c>
      <c r="BA48" s="21">
        <f t="shared" si="124"/>
        <v>0</v>
      </c>
      <c r="BB48" s="21">
        <f t="shared" si="125"/>
        <v>0</v>
      </c>
      <c r="BC48" s="21">
        <f t="shared" si="126"/>
        <v>0</v>
      </c>
      <c r="BD48" s="21">
        <f t="shared" si="127"/>
        <v>0</v>
      </c>
      <c r="BE48" s="21">
        <f>IF(($C$7-$E48&lt;=$H48),(($I48+$J48)/2*$C$8*L48),0)</f>
        <v>0</v>
      </c>
      <c r="BF48" s="21">
        <f t="shared" si="129"/>
        <v>0</v>
      </c>
      <c r="BG48" s="21">
        <f t="shared" si="130"/>
        <v>0</v>
      </c>
      <c r="BH48" s="21">
        <f t="shared" si="131"/>
        <v>0</v>
      </c>
      <c r="BI48" s="21">
        <f t="shared" si="180"/>
        <v>0</v>
      </c>
      <c r="BJ48" s="21">
        <f t="shared" si="180"/>
        <v>0</v>
      </c>
      <c r="BK48" s="21">
        <f t="shared" si="180"/>
        <v>0</v>
      </c>
      <c r="BL48" s="21">
        <f t="shared" si="180"/>
        <v>0</v>
      </c>
      <c r="BM48" s="21">
        <f t="shared" si="180"/>
        <v>0</v>
      </c>
      <c r="BN48" s="21">
        <f t="shared" si="132"/>
        <v>0</v>
      </c>
      <c r="BO48" s="21">
        <f t="shared" si="133"/>
        <v>0</v>
      </c>
      <c r="BP48" s="21">
        <f t="shared" si="134"/>
        <v>0</v>
      </c>
      <c r="BQ48" s="21">
        <f t="shared" si="135"/>
        <v>0</v>
      </c>
      <c r="BR48" s="21">
        <f t="shared" si="136"/>
        <v>0</v>
      </c>
      <c r="BS48" s="21">
        <f t="shared" si="137"/>
        <v>0</v>
      </c>
      <c r="BT48" s="21">
        <f t="shared" si="138"/>
        <v>0</v>
      </c>
      <c r="BU48" s="21">
        <f t="shared" si="139"/>
        <v>0</v>
      </c>
      <c r="BV48" s="21">
        <f t="shared" si="140"/>
        <v>0</v>
      </c>
      <c r="BW48" s="21">
        <f t="shared" si="141"/>
        <v>0</v>
      </c>
      <c r="BX48" s="21">
        <f t="shared" si="142"/>
        <v>0</v>
      </c>
      <c r="BY48" s="21">
        <f t="shared" si="143"/>
        <v>0</v>
      </c>
      <c r="BZ48" s="21">
        <f t="shared" si="144"/>
        <v>0</v>
      </c>
      <c r="CA48" s="21">
        <f>$I48*$K48*L48</f>
        <v>0</v>
      </c>
      <c r="CB48" s="21">
        <f t="shared" si="146"/>
        <v>0</v>
      </c>
      <c r="CC48" s="21">
        <f t="shared" si="147"/>
        <v>0</v>
      </c>
      <c r="CD48" s="21">
        <f t="shared" si="148"/>
        <v>0</v>
      </c>
      <c r="CE48" s="21">
        <f t="shared" si="181"/>
        <v>0</v>
      </c>
      <c r="CF48" s="21">
        <f t="shared" si="181"/>
        <v>0</v>
      </c>
      <c r="CG48" s="21">
        <f t="shared" si="181"/>
        <v>0</v>
      </c>
      <c r="CH48" s="21">
        <f t="shared" si="181"/>
        <v>0</v>
      </c>
      <c r="CI48" s="21">
        <f t="shared" si="181"/>
        <v>0</v>
      </c>
      <c r="CJ48" s="21">
        <f t="shared" si="149"/>
        <v>0</v>
      </c>
      <c r="CK48" s="21">
        <f t="shared" si="150"/>
        <v>0</v>
      </c>
      <c r="CL48" s="21">
        <f t="shared" si="151"/>
        <v>0</v>
      </c>
      <c r="CM48" s="21">
        <f t="shared" si="152"/>
        <v>0</v>
      </c>
      <c r="CN48" s="21">
        <f t="shared" si="153"/>
        <v>0</v>
      </c>
      <c r="CO48" s="21">
        <f t="shared" si="154"/>
        <v>0</v>
      </c>
      <c r="CP48" s="21">
        <f t="shared" si="155"/>
        <v>0</v>
      </c>
      <c r="CQ48" s="21">
        <f t="shared" si="156"/>
        <v>0</v>
      </c>
      <c r="CR48" s="21">
        <f t="shared" si="157"/>
        <v>0</v>
      </c>
      <c r="CS48" s="21">
        <f t="shared" si="158"/>
        <v>0</v>
      </c>
      <c r="CT48" s="21">
        <f t="shared" si="159"/>
        <v>0</v>
      </c>
      <c r="CU48" s="21">
        <f t="shared" si="160"/>
        <v>0</v>
      </c>
      <c r="CV48" s="21">
        <f t="shared" si="161"/>
        <v>0</v>
      </c>
      <c r="CW48" s="21">
        <f>$I48*$C$9*L48</f>
        <v>0</v>
      </c>
      <c r="CX48" s="21">
        <f t="shared" si="163"/>
        <v>0</v>
      </c>
      <c r="CY48" s="21">
        <f t="shared" si="164"/>
        <v>0</v>
      </c>
      <c r="CZ48" s="21">
        <f t="shared" si="165"/>
        <v>0</v>
      </c>
      <c r="DA48" s="21">
        <f t="shared" si="182"/>
        <v>0</v>
      </c>
      <c r="DB48" s="21">
        <f t="shared" si="182"/>
        <v>0</v>
      </c>
      <c r="DC48" s="21">
        <f t="shared" si="182"/>
        <v>0</v>
      </c>
      <c r="DD48" s="21">
        <f t="shared" si="182"/>
        <v>0</v>
      </c>
      <c r="DE48" s="21">
        <f t="shared" si="182"/>
        <v>0</v>
      </c>
      <c r="DF48" s="21">
        <f t="shared" si="166"/>
        <v>0</v>
      </c>
      <c r="DG48" s="21">
        <f t="shared" si="167"/>
        <v>0</v>
      </c>
      <c r="DH48" s="21">
        <f t="shared" si="168"/>
        <v>0</v>
      </c>
      <c r="DI48" s="21">
        <f t="shared" si="169"/>
        <v>0</v>
      </c>
      <c r="DJ48" s="21">
        <f t="shared" si="170"/>
        <v>0</v>
      </c>
      <c r="DK48" s="21">
        <f t="shared" si="171"/>
        <v>0</v>
      </c>
      <c r="DL48" s="21">
        <f t="shared" si="172"/>
        <v>0</v>
      </c>
      <c r="DM48" s="21">
        <f t="shared" si="173"/>
        <v>0</v>
      </c>
      <c r="DN48" s="21">
        <f t="shared" si="174"/>
        <v>0</v>
      </c>
      <c r="DO48" s="21">
        <f t="shared" si="175"/>
        <v>0</v>
      </c>
      <c r="DP48" s="21">
        <f t="shared" si="176"/>
        <v>0</v>
      </c>
      <c r="DQ48" s="21">
        <f t="shared" si="177"/>
        <v>0</v>
      </c>
      <c r="DR48" s="21">
        <f t="shared" si="178"/>
        <v>0</v>
      </c>
    </row>
    <row r="49" spans="1:122" ht="13.8" thickBot="1" x14ac:dyDescent="0.3">
      <c r="B49" s="49" t="str">
        <f>'Gårdens info'!C98</f>
        <v>maskin X</v>
      </c>
      <c r="C49" s="360"/>
      <c r="D49" s="515"/>
      <c r="E49" s="360">
        <f>'Gårdens info'!J98</f>
        <v>0</v>
      </c>
      <c r="F49" s="508"/>
      <c r="G49" s="508"/>
      <c r="H49" s="506">
        <v>15</v>
      </c>
      <c r="I49">
        <f>'Gårdens info'!D98</f>
        <v>0</v>
      </c>
      <c r="J49" s="506">
        <f t="shared" si="109"/>
        <v>0</v>
      </c>
      <c r="K49" s="507">
        <v>0.03</v>
      </c>
      <c r="L49" s="498">
        <f>'Gårdens info'!$D$10/('Gårdens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M49" s="498">
        <f>'Gårdens info'!$D$11/('Gårdens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N49" s="498">
        <f>'Gårdens info'!$D$12/('Gårdens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O49" s="498">
        <f>'Gårdens info'!$D$13/('Gårdens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P49" s="498">
        <f>'Gårdens info'!$D$14/('Gårdens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Q49" s="498">
        <f>'Gårdens info'!$D$15/('Gårdens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R49" s="498">
        <f>'Gårdens info'!$D$16/('Gårdens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S49" s="498">
        <f>'Gårdens info'!$D$17/('Gårdens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T49" s="498">
        <f>'Gårdens info'!$D$18/('Gårdens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U49" s="498">
        <f>'Gårdens info'!$D$22/('Gårdens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0.18518518518518517</v>
      </c>
      <c r="V49" s="498">
        <f>'Gårdens info'!$D$23/('Gårdens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W49" s="498">
        <f>'Gårdens info'!$D$24/('Gårdens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0.14814814814814814</v>
      </c>
      <c r="X49" s="498">
        <f>'Gårdens info'!$D$25/('Gårdens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Y49" s="498">
        <f>'Gårdens info'!$D$26/('Gårdens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0.18518518518518517</v>
      </c>
      <c r="Z49" s="498">
        <f>'Gårdens info'!$D$27/('Gårdens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AA49" s="498">
        <f>'Gårdens info'!$D$28/('Gårdens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0.1111111111111111</v>
      </c>
      <c r="AB49" s="498">
        <f>'Gårdens info'!$D$31/('Gårdens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0.1111111111111111</v>
      </c>
      <c r="AC49" s="498">
        <f>'Gårdens info'!$D$32/('Gårdens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AD49" s="498">
        <f>'Gårdens info'!$D$33/('Gårdens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AE49" s="498">
        <f>'Gårdens info'!$D$34/('Gårdens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AF49" s="498">
        <f>'Gårdens info'!$D$35/('Gårdens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AG49" s="498">
        <f>'Gårdens info'!$D$36/('Gårdens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AH49" s="500">
        <f t="shared" si="110"/>
        <v>1</v>
      </c>
      <c r="AI49" s="21">
        <f t="shared" si="111"/>
        <v>0</v>
      </c>
      <c r="AJ49" s="21">
        <f t="shared" si="112"/>
        <v>0</v>
      </c>
      <c r="AK49" s="21">
        <f t="shared" si="113"/>
        <v>0</v>
      </c>
      <c r="AL49" s="21">
        <f t="shared" si="114"/>
        <v>0</v>
      </c>
      <c r="AM49" s="21">
        <f t="shared" si="179"/>
        <v>0</v>
      </c>
      <c r="AN49" s="21">
        <f t="shared" si="179"/>
        <v>0</v>
      </c>
      <c r="AO49" s="21">
        <f t="shared" si="179"/>
        <v>0</v>
      </c>
      <c r="AP49" s="21">
        <f t="shared" si="179"/>
        <v>0</v>
      </c>
      <c r="AQ49" s="21">
        <f t="shared" si="179"/>
        <v>0</v>
      </c>
      <c r="AR49" s="21">
        <f t="shared" si="115"/>
        <v>0</v>
      </c>
      <c r="AS49" s="21">
        <f t="shared" si="116"/>
        <v>0</v>
      </c>
      <c r="AT49" s="21">
        <f t="shared" si="117"/>
        <v>0</v>
      </c>
      <c r="AU49" s="21">
        <f t="shared" si="118"/>
        <v>0</v>
      </c>
      <c r="AV49" s="21">
        <f t="shared" si="119"/>
        <v>0</v>
      </c>
      <c r="AW49" s="21">
        <f t="shared" si="120"/>
        <v>0</v>
      </c>
      <c r="AX49" s="21">
        <f t="shared" si="121"/>
        <v>0</v>
      </c>
      <c r="AY49" s="21">
        <f t="shared" si="122"/>
        <v>0</v>
      </c>
      <c r="AZ49" s="21">
        <f t="shared" si="123"/>
        <v>0</v>
      </c>
      <c r="BA49" s="21">
        <f t="shared" si="124"/>
        <v>0</v>
      </c>
      <c r="BB49" s="21">
        <f t="shared" si="125"/>
        <v>0</v>
      </c>
      <c r="BC49" s="21">
        <f t="shared" si="126"/>
        <v>0</v>
      </c>
      <c r="BD49" s="21">
        <f t="shared" si="127"/>
        <v>0</v>
      </c>
      <c r="BE49" s="36">
        <f t="shared" si="128"/>
        <v>0</v>
      </c>
      <c r="BF49" s="21">
        <f t="shared" si="129"/>
        <v>0</v>
      </c>
      <c r="BG49" s="21">
        <f t="shared" si="130"/>
        <v>0</v>
      </c>
      <c r="BH49" s="21">
        <f t="shared" si="131"/>
        <v>0</v>
      </c>
      <c r="BI49" s="21">
        <f t="shared" si="180"/>
        <v>0</v>
      </c>
      <c r="BJ49" s="21">
        <f t="shared" si="180"/>
        <v>0</v>
      </c>
      <c r="BK49" s="21">
        <f t="shared" si="180"/>
        <v>0</v>
      </c>
      <c r="BL49" s="21">
        <f t="shared" si="180"/>
        <v>0</v>
      </c>
      <c r="BM49" s="21">
        <f t="shared" si="180"/>
        <v>0</v>
      </c>
      <c r="BN49" s="21">
        <f t="shared" si="132"/>
        <v>0</v>
      </c>
      <c r="BO49" s="21">
        <f t="shared" si="133"/>
        <v>0</v>
      </c>
      <c r="BP49" s="21">
        <f t="shared" si="134"/>
        <v>0</v>
      </c>
      <c r="BQ49" s="21">
        <f t="shared" si="135"/>
        <v>0</v>
      </c>
      <c r="BR49" s="21">
        <f t="shared" si="136"/>
        <v>0</v>
      </c>
      <c r="BS49" s="21">
        <f t="shared" si="137"/>
        <v>0</v>
      </c>
      <c r="BT49" s="21">
        <f t="shared" si="138"/>
        <v>0</v>
      </c>
      <c r="BU49" s="21">
        <f t="shared" si="139"/>
        <v>0</v>
      </c>
      <c r="BV49" s="21">
        <f t="shared" si="140"/>
        <v>0</v>
      </c>
      <c r="BW49" s="21">
        <f t="shared" si="141"/>
        <v>0</v>
      </c>
      <c r="BX49" s="21">
        <f t="shared" si="142"/>
        <v>0</v>
      </c>
      <c r="BY49" s="21">
        <f t="shared" si="143"/>
        <v>0</v>
      </c>
      <c r="BZ49" s="21">
        <f t="shared" si="144"/>
        <v>0</v>
      </c>
      <c r="CA49" s="36">
        <f t="shared" si="145"/>
        <v>0</v>
      </c>
      <c r="CB49" s="21">
        <f t="shared" si="146"/>
        <v>0</v>
      </c>
      <c r="CC49" s="21">
        <f t="shared" si="147"/>
        <v>0</v>
      </c>
      <c r="CD49" s="21">
        <f t="shared" si="148"/>
        <v>0</v>
      </c>
      <c r="CE49" s="21">
        <f t="shared" si="181"/>
        <v>0</v>
      </c>
      <c r="CF49" s="21">
        <f t="shared" si="181"/>
        <v>0</v>
      </c>
      <c r="CG49" s="21">
        <f t="shared" si="181"/>
        <v>0</v>
      </c>
      <c r="CH49" s="21">
        <f t="shared" si="181"/>
        <v>0</v>
      </c>
      <c r="CI49" s="21">
        <f t="shared" si="181"/>
        <v>0</v>
      </c>
      <c r="CJ49" s="21">
        <f t="shared" si="149"/>
        <v>0</v>
      </c>
      <c r="CK49" s="21">
        <f t="shared" si="150"/>
        <v>0</v>
      </c>
      <c r="CL49" s="21">
        <f t="shared" si="151"/>
        <v>0</v>
      </c>
      <c r="CM49" s="21">
        <f t="shared" si="152"/>
        <v>0</v>
      </c>
      <c r="CN49" s="21">
        <f t="shared" si="153"/>
        <v>0</v>
      </c>
      <c r="CO49" s="21">
        <f t="shared" si="154"/>
        <v>0</v>
      </c>
      <c r="CP49" s="21">
        <f t="shared" si="155"/>
        <v>0</v>
      </c>
      <c r="CQ49" s="21">
        <f t="shared" si="156"/>
        <v>0</v>
      </c>
      <c r="CR49" s="21">
        <f t="shared" si="157"/>
        <v>0</v>
      </c>
      <c r="CS49" s="21">
        <f t="shared" si="158"/>
        <v>0</v>
      </c>
      <c r="CT49" s="21">
        <f t="shared" si="159"/>
        <v>0</v>
      </c>
      <c r="CU49" s="21">
        <f t="shared" si="160"/>
        <v>0</v>
      </c>
      <c r="CV49" s="21">
        <f t="shared" si="161"/>
        <v>0</v>
      </c>
      <c r="CW49" s="36">
        <f t="shared" si="162"/>
        <v>0</v>
      </c>
      <c r="CX49" s="21">
        <f t="shared" si="163"/>
        <v>0</v>
      </c>
      <c r="CY49" s="21">
        <f t="shared" si="164"/>
        <v>0</v>
      </c>
      <c r="CZ49" s="21">
        <f t="shared" si="165"/>
        <v>0</v>
      </c>
      <c r="DA49" s="21">
        <f t="shared" si="182"/>
        <v>0</v>
      </c>
      <c r="DB49" s="21">
        <f t="shared" si="182"/>
        <v>0</v>
      </c>
      <c r="DC49" s="21">
        <f t="shared" si="182"/>
        <v>0</v>
      </c>
      <c r="DD49" s="21">
        <f t="shared" si="182"/>
        <v>0</v>
      </c>
      <c r="DE49" s="21">
        <f t="shared" si="182"/>
        <v>0</v>
      </c>
      <c r="DF49" s="21">
        <f t="shared" si="166"/>
        <v>0</v>
      </c>
      <c r="DG49" s="21">
        <f t="shared" si="167"/>
        <v>0</v>
      </c>
      <c r="DH49" s="21">
        <f t="shared" si="168"/>
        <v>0</v>
      </c>
      <c r="DI49" s="21">
        <f t="shared" si="169"/>
        <v>0</v>
      </c>
      <c r="DJ49" s="21">
        <f t="shared" si="170"/>
        <v>0</v>
      </c>
      <c r="DK49" s="21">
        <f t="shared" si="171"/>
        <v>0</v>
      </c>
      <c r="DL49" s="21">
        <f t="shared" si="172"/>
        <v>0</v>
      </c>
      <c r="DM49" s="21">
        <f t="shared" si="173"/>
        <v>0</v>
      </c>
      <c r="DN49" s="21">
        <f t="shared" si="174"/>
        <v>0</v>
      </c>
      <c r="DO49" s="21">
        <f t="shared" si="175"/>
        <v>0</v>
      </c>
      <c r="DP49" s="21">
        <f t="shared" si="176"/>
        <v>0</v>
      </c>
      <c r="DQ49" s="21">
        <f t="shared" si="177"/>
        <v>0</v>
      </c>
      <c r="DR49" s="37">
        <f t="shared" si="178"/>
        <v>0</v>
      </c>
    </row>
    <row r="50" spans="1:122" ht="13.8" thickBot="1" x14ac:dyDescent="0.3">
      <c r="B50" s="49" t="str">
        <f>'Gårdens info'!C99</f>
        <v>maskin X</v>
      </c>
      <c r="C50" s="360"/>
      <c r="D50" s="515"/>
      <c r="E50" s="360">
        <f>'Gårdens info'!J99</f>
        <v>0</v>
      </c>
      <c r="F50" s="508"/>
      <c r="G50" s="508"/>
      <c r="H50" s="506">
        <v>15</v>
      </c>
      <c r="I50">
        <f>'Gårdens info'!D99</f>
        <v>0</v>
      </c>
      <c r="J50" s="506">
        <f t="shared" si="109"/>
        <v>0</v>
      </c>
      <c r="K50" s="507">
        <v>0.03</v>
      </c>
      <c r="L50" s="498">
        <f>'Gårdens info'!$D$10/('Gårdens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M50" s="498">
        <f>'Gårdens info'!$D$11/('Gårdens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N50" s="498">
        <f>'Gårdens info'!$D$12/('Gårdens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O50" s="498">
        <f>'Gårdens info'!$D$13/('Gårdens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P50" s="498">
        <f>'Gårdens info'!$D$14/('Gårdens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Q50" s="498">
        <f>'Gårdens info'!$D$15/('Gårdens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R50" s="498">
        <f>'Gårdens info'!$D$16/('Gårdens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S50" s="498">
        <f>'Gårdens info'!$D$17/('Gårdens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T50" s="498">
        <f>'Gårdens info'!$D$18/('Gårdens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U50" s="498">
        <f>'Gårdens info'!$D$22/('Gårdens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0.18518518518518517</v>
      </c>
      <c r="V50" s="498">
        <f>'Gårdens info'!$D$23/('Gårdens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W50" s="498">
        <f>'Gårdens info'!$D$24/('Gårdens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0.14814814814814814</v>
      </c>
      <c r="X50" s="498">
        <f>'Gårdens info'!$D$25/('Gårdens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Y50" s="498">
        <f>'Gårdens info'!$D$26/('Gårdens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0.18518518518518517</v>
      </c>
      <c r="Z50" s="498">
        <f>'Gårdens info'!$D$27/('Gårdens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AA50" s="498">
        <f>'Gårdens info'!$D$28/('Gårdens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0.1111111111111111</v>
      </c>
      <c r="AB50" s="498">
        <f>'Gårdens info'!$D$31/('Gårdens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0.1111111111111111</v>
      </c>
      <c r="AC50" s="498">
        <f>'Gårdens info'!$D$32/('Gårdens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AD50" s="498">
        <f>'Gårdens info'!$D$33/('Gårdens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AE50" s="498">
        <f>'Gårdens info'!$D$34/('Gårdens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AF50" s="498">
        <f>'Gårdens info'!$D$35/('Gårdens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AG50" s="498">
        <f>'Gårdens info'!$D$36/('Gårdens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AH50" s="500">
        <f t="shared" si="110"/>
        <v>1</v>
      </c>
      <c r="AI50" s="21">
        <f t="shared" si="111"/>
        <v>0</v>
      </c>
      <c r="AJ50" s="21">
        <f t="shared" si="112"/>
        <v>0</v>
      </c>
      <c r="AK50" s="21">
        <f t="shared" si="113"/>
        <v>0</v>
      </c>
      <c r="AL50" s="21">
        <f t="shared" si="114"/>
        <v>0</v>
      </c>
      <c r="AM50" s="21">
        <f t="shared" si="179"/>
        <v>0</v>
      </c>
      <c r="AN50" s="21">
        <f t="shared" si="179"/>
        <v>0</v>
      </c>
      <c r="AO50" s="21">
        <f t="shared" si="179"/>
        <v>0</v>
      </c>
      <c r="AP50" s="21">
        <f t="shared" si="179"/>
        <v>0</v>
      </c>
      <c r="AQ50" s="21">
        <f t="shared" si="179"/>
        <v>0</v>
      </c>
      <c r="AR50" s="21">
        <f t="shared" si="115"/>
        <v>0</v>
      </c>
      <c r="AS50" s="21">
        <f t="shared" si="116"/>
        <v>0</v>
      </c>
      <c r="AT50" s="21">
        <f t="shared" si="117"/>
        <v>0</v>
      </c>
      <c r="AU50" s="21">
        <f t="shared" si="118"/>
        <v>0</v>
      </c>
      <c r="AV50" s="21">
        <f t="shared" si="119"/>
        <v>0</v>
      </c>
      <c r="AW50" s="21">
        <f t="shared" si="120"/>
        <v>0</v>
      </c>
      <c r="AX50" s="21">
        <f t="shared" si="121"/>
        <v>0</v>
      </c>
      <c r="AY50" s="21">
        <f t="shared" si="122"/>
        <v>0</v>
      </c>
      <c r="AZ50" s="21">
        <f t="shared" si="123"/>
        <v>0</v>
      </c>
      <c r="BA50" s="21">
        <f t="shared" si="124"/>
        <v>0</v>
      </c>
      <c r="BB50" s="21">
        <f t="shared" si="125"/>
        <v>0</v>
      </c>
      <c r="BC50" s="21">
        <f t="shared" si="126"/>
        <v>0</v>
      </c>
      <c r="BD50" s="21">
        <f t="shared" si="127"/>
        <v>0</v>
      </c>
      <c r="BE50" s="36">
        <f t="shared" si="128"/>
        <v>0</v>
      </c>
      <c r="BF50" s="21">
        <f t="shared" si="129"/>
        <v>0</v>
      </c>
      <c r="BG50" s="21">
        <f t="shared" si="130"/>
        <v>0</v>
      </c>
      <c r="BH50" s="21">
        <f t="shared" si="131"/>
        <v>0</v>
      </c>
      <c r="BI50" s="21">
        <f t="shared" si="180"/>
        <v>0</v>
      </c>
      <c r="BJ50" s="21">
        <f t="shared" si="180"/>
        <v>0</v>
      </c>
      <c r="BK50" s="21">
        <f t="shared" si="180"/>
        <v>0</v>
      </c>
      <c r="BL50" s="21">
        <f t="shared" si="180"/>
        <v>0</v>
      </c>
      <c r="BM50" s="21">
        <f t="shared" si="180"/>
        <v>0</v>
      </c>
      <c r="BN50" s="21">
        <f t="shared" si="132"/>
        <v>0</v>
      </c>
      <c r="BO50" s="21">
        <f t="shared" si="133"/>
        <v>0</v>
      </c>
      <c r="BP50" s="21">
        <f t="shared" si="134"/>
        <v>0</v>
      </c>
      <c r="BQ50" s="21">
        <f t="shared" si="135"/>
        <v>0</v>
      </c>
      <c r="BR50" s="21">
        <f t="shared" si="136"/>
        <v>0</v>
      </c>
      <c r="BS50" s="21">
        <f t="shared" si="137"/>
        <v>0</v>
      </c>
      <c r="BT50" s="21">
        <f t="shared" si="138"/>
        <v>0</v>
      </c>
      <c r="BU50" s="21">
        <f t="shared" si="139"/>
        <v>0</v>
      </c>
      <c r="BV50" s="21">
        <f t="shared" si="140"/>
        <v>0</v>
      </c>
      <c r="BW50" s="21">
        <f t="shared" si="141"/>
        <v>0</v>
      </c>
      <c r="BX50" s="21">
        <f t="shared" si="142"/>
        <v>0</v>
      </c>
      <c r="BY50" s="21">
        <f t="shared" si="143"/>
        <v>0</v>
      </c>
      <c r="BZ50" s="21">
        <f t="shared" si="144"/>
        <v>0</v>
      </c>
      <c r="CA50" s="36">
        <f t="shared" si="145"/>
        <v>0</v>
      </c>
      <c r="CB50" s="21">
        <f t="shared" si="146"/>
        <v>0</v>
      </c>
      <c r="CC50" s="21">
        <f t="shared" si="147"/>
        <v>0</v>
      </c>
      <c r="CD50" s="21">
        <f t="shared" si="148"/>
        <v>0</v>
      </c>
      <c r="CE50" s="21">
        <f t="shared" si="181"/>
        <v>0</v>
      </c>
      <c r="CF50" s="21">
        <f t="shared" si="181"/>
        <v>0</v>
      </c>
      <c r="CG50" s="21">
        <f t="shared" si="181"/>
        <v>0</v>
      </c>
      <c r="CH50" s="21">
        <f t="shared" si="181"/>
        <v>0</v>
      </c>
      <c r="CI50" s="21">
        <f t="shared" si="181"/>
        <v>0</v>
      </c>
      <c r="CJ50" s="21">
        <f t="shared" si="149"/>
        <v>0</v>
      </c>
      <c r="CK50" s="21">
        <f t="shared" si="150"/>
        <v>0</v>
      </c>
      <c r="CL50" s="21">
        <f t="shared" si="151"/>
        <v>0</v>
      </c>
      <c r="CM50" s="21">
        <f t="shared" si="152"/>
        <v>0</v>
      </c>
      <c r="CN50" s="21">
        <f t="shared" si="153"/>
        <v>0</v>
      </c>
      <c r="CO50" s="21">
        <f t="shared" si="154"/>
        <v>0</v>
      </c>
      <c r="CP50" s="21">
        <f t="shared" si="155"/>
        <v>0</v>
      </c>
      <c r="CQ50" s="21">
        <f t="shared" si="156"/>
        <v>0</v>
      </c>
      <c r="CR50" s="21">
        <f t="shared" si="157"/>
        <v>0</v>
      </c>
      <c r="CS50" s="21">
        <f t="shared" si="158"/>
        <v>0</v>
      </c>
      <c r="CT50" s="21">
        <f t="shared" si="159"/>
        <v>0</v>
      </c>
      <c r="CU50" s="21">
        <f t="shared" si="160"/>
        <v>0</v>
      </c>
      <c r="CV50" s="21">
        <f t="shared" si="161"/>
        <v>0</v>
      </c>
      <c r="CW50" s="36">
        <f t="shared" si="162"/>
        <v>0</v>
      </c>
      <c r="CX50" s="21">
        <f t="shared" si="163"/>
        <v>0</v>
      </c>
      <c r="CY50" s="21">
        <f t="shared" si="164"/>
        <v>0</v>
      </c>
      <c r="CZ50" s="21">
        <f t="shared" si="165"/>
        <v>0</v>
      </c>
      <c r="DA50" s="21">
        <f t="shared" si="182"/>
        <v>0</v>
      </c>
      <c r="DB50" s="21">
        <f t="shared" si="182"/>
        <v>0</v>
      </c>
      <c r="DC50" s="21">
        <f t="shared" si="182"/>
        <v>0</v>
      </c>
      <c r="DD50" s="21">
        <f t="shared" si="182"/>
        <v>0</v>
      </c>
      <c r="DE50" s="21">
        <f t="shared" si="182"/>
        <v>0</v>
      </c>
      <c r="DF50" s="21">
        <f t="shared" si="166"/>
        <v>0</v>
      </c>
      <c r="DG50" s="21">
        <f t="shared" si="167"/>
        <v>0</v>
      </c>
      <c r="DH50" s="21">
        <f t="shared" si="168"/>
        <v>0</v>
      </c>
      <c r="DI50" s="21">
        <f t="shared" si="169"/>
        <v>0</v>
      </c>
      <c r="DJ50" s="21">
        <f t="shared" si="170"/>
        <v>0</v>
      </c>
      <c r="DK50" s="21">
        <f t="shared" si="171"/>
        <v>0</v>
      </c>
      <c r="DL50" s="21">
        <f t="shared" si="172"/>
        <v>0</v>
      </c>
      <c r="DM50" s="21">
        <f t="shared" si="173"/>
        <v>0</v>
      </c>
      <c r="DN50" s="21">
        <f t="shared" si="174"/>
        <v>0</v>
      </c>
      <c r="DO50" s="21">
        <f t="shared" si="175"/>
        <v>0</v>
      </c>
      <c r="DP50" s="21">
        <f t="shared" si="176"/>
        <v>0</v>
      </c>
      <c r="DQ50" s="21">
        <f t="shared" si="177"/>
        <v>0</v>
      </c>
      <c r="DR50" s="37">
        <f t="shared" si="178"/>
        <v>0</v>
      </c>
    </row>
    <row r="51" spans="1:122" s="8" customFormat="1" x14ac:dyDescent="0.25">
      <c r="A51" s="16" t="s">
        <v>196</v>
      </c>
      <c r="B51" s="16"/>
      <c r="C51" s="16"/>
      <c r="D51" s="16"/>
      <c r="E51" s="516"/>
      <c r="F51" s="517"/>
      <c r="G51" s="16"/>
      <c r="H51" s="517"/>
      <c r="I51" s="517"/>
      <c r="J51" s="517"/>
      <c r="K51" s="522"/>
      <c r="L51" s="523"/>
      <c r="M51" s="7"/>
      <c r="N51" s="7"/>
      <c r="O51" s="7"/>
      <c r="P51" s="7"/>
      <c r="Q51" s="7"/>
      <c r="R51" s="7"/>
      <c r="S51" s="7"/>
      <c r="T51" s="7"/>
      <c r="U51" s="7"/>
      <c r="V51" s="7"/>
      <c r="W51" s="7"/>
      <c r="X51" s="7"/>
      <c r="Y51" s="7"/>
      <c r="Z51" s="7"/>
      <c r="AA51" s="7"/>
      <c r="AB51" s="7"/>
      <c r="AC51" s="7"/>
      <c r="AD51" s="7"/>
      <c r="AE51" s="7"/>
      <c r="AF51" s="7"/>
      <c r="AG51" s="7"/>
      <c r="AH51" s="497"/>
      <c r="AI51" s="19">
        <f>SUM(AI28:AI50)</f>
        <v>4484.1975308641977</v>
      </c>
      <c r="AJ51" s="19">
        <f t="shared" ref="AJ51:BD51" si="184">SUM(AJ28:AJ50)</f>
        <v>1817.5308641975307</v>
      </c>
      <c r="AK51" s="19">
        <f t="shared" si="184"/>
        <v>4150.8641975308647</v>
      </c>
      <c r="AL51" s="19">
        <f t="shared" ref="AL51:AQ51" si="185">SUM(AL28:AL50)</f>
        <v>1150.864197530864</v>
      </c>
      <c r="AM51" s="19">
        <f t="shared" si="185"/>
        <v>0</v>
      </c>
      <c r="AN51" s="19">
        <f t="shared" si="185"/>
        <v>0</v>
      </c>
      <c r="AO51" s="19">
        <f t="shared" si="185"/>
        <v>0</v>
      </c>
      <c r="AP51" s="19">
        <f t="shared" si="185"/>
        <v>0</v>
      </c>
      <c r="AQ51" s="19">
        <f t="shared" si="185"/>
        <v>0</v>
      </c>
      <c r="AR51" s="19">
        <f t="shared" si="184"/>
        <v>853.85432098765421</v>
      </c>
      <c r="AS51" s="19">
        <f t="shared" si="184"/>
        <v>231.33086419753084</v>
      </c>
      <c r="AT51" s="19">
        <f t="shared" si="184"/>
        <v>603.45679012345681</v>
      </c>
      <c r="AU51" s="19">
        <f t="shared" si="184"/>
        <v>150.8641975308642</v>
      </c>
      <c r="AV51" s="19">
        <f t="shared" si="184"/>
        <v>754.3209876543209</v>
      </c>
      <c r="AW51" s="19">
        <f t="shared" si="184"/>
        <v>150.8641975308642</v>
      </c>
      <c r="AX51" s="19">
        <f t="shared" si="184"/>
        <v>452.59259259259261</v>
      </c>
      <c r="AY51" s="19">
        <f t="shared" si="184"/>
        <v>452.59259259259261</v>
      </c>
      <c r="AZ51" s="19">
        <f t="shared" si="184"/>
        <v>0</v>
      </c>
      <c r="BA51" s="19">
        <f t="shared" si="184"/>
        <v>0</v>
      </c>
      <c r="BB51" s="19">
        <f t="shared" ref="BB51" si="186">SUM(BB28:BB50)</f>
        <v>0</v>
      </c>
      <c r="BC51" s="19">
        <f t="shared" si="184"/>
        <v>0</v>
      </c>
      <c r="BD51" s="19">
        <f t="shared" si="184"/>
        <v>0</v>
      </c>
      <c r="BE51" s="41">
        <f t="shared" ref="BE51:DR51" si="187">SUM(BE28:BE50)</f>
        <v>1681.5740740740739</v>
      </c>
      <c r="BF51" s="19">
        <f t="shared" si="187"/>
        <v>681.57407407407402</v>
      </c>
      <c r="BG51" s="19">
        <f t="shared" si="187"/>
        <v>1556.5740740740739</v>
      </c>
      <c r="BH51" s="19">
        <f t="shared" ref="BH51:BM51" si="188">SUM(BH28:BH50)</f>
        <v>431.57407407407408</v>
      </c>
      <c r="BI51" s="19">
        <f t="shared" si="188"/>
        <v>0</v>
      </c>
      <c r="BJ51" s="19">
        <f t="shared" si="188"/>
        <v>0</v>
      </c>
      <c r="BK51" s="19">
        <f t="shared" si="188"/>
        <v>0</v>
      </c>
      <c r="BL51" s="19">
        <f t="shared" si="188"/>
        <v>0</v>
      </c>
      <c r="BM51" s="19">
        <f t="shared" si="188"/>
        <v>0</v>
      </c>
      <c r="BN51" s="19">
        <f t="shared" si="187"/>
        <v>320.19537037037031</v>
      </c>
      <c r="BO51" s="19">
        <f t="shared" si="187"/>
        <v>86.749074074074059</v>
      </c>
      <c r="BP51" s="19">
        <f t="shared" si="187"/>
        <v>226.2962962962963</v>
      </c>
      <c r="BQ51" s="19">
        <f t="shared" si="187"/>
        <v>56.574074074074076</v>
      </c>
      <c r="BR51" s="19">
        <f t="shared" si="187"/>
        <v>282.87037037037032</v>
      </c>
      <c r="BS51" s="19">
        <f t="shared" si="187"/>
        <v>56.574074074074076</v>
      </c>
      <c r="BT51" s="19">
        <f t="shared" si="187"/>
        <v>169.72222222222223</v>
      </c>
      <c r="BU51" s="19">
        <f t="shared" si="187"/>
        <v>169.72222222222223</v>
      </c>
      <c r="BV51" s="19">
        <f t="shared" si="187"/>
        <v>0</v>
      </c>
      <c r="BW51" s="19">
        <f t="shared" si="187"/>
        <v>0</v>
      </c>
      <c r="BX51" s="19">
        <f t="shared" ref="BX51" si="189">SUM(BX28:BX50)</f>
        <v>0</v>
      </c>
      <c r="BY51" s="19">
        <f t="shared" si="187"/>
        <v>0</v>
      </c>
      <c r="BZ51" s="19">
        <f t="shared" si="187"/>
        <v>0</v>
      </c>
      <c r="CA51" s="41">
        <f>SUM(CA28:CA50)</f>
        <v>2090.7777777777778</v>
      </c>
      <c r="CB51" s="19">
        <f t="shared" ref="CB51:CQ51" si="190">SUM(CB28:CB50)</f>
        <v>890.77777777777794</v>
      </c>
      <c r="CC51" s="19">
        <f t="shared" si="190"/>
        <v>1940.7777777777781</v>
      </c>
      <c r="CD51" s="19">
        <f t="shared" ref="CD51:CI51" si="191">SUM(CD28:CD50)</f>
        <v>590.77777777777794</v>
      </c>
      <c r="CE51" s="19">
        <f t="shared" si="191"/>
        <v>0</v>
      </c>
      <c r="CF51" s="19">
        <f t="shared" si="191"/>
        <v>0</v>
      </c>
      <c r="CG51" s="19">
        <f t="shared" si="191"/>
        <v>0</v>
      </c>
      <c r="CH51" s="19">
        <f t="shared" si="191"/>
        <v>0</v>
      </c>
      <c r="CI51" s="19">
        <f t="shared" si="191"/>
        <v>0</v>
      </c>
      <c r="CJ51" s="19">
        <f t="shared" si="190"/>
        <v>763.67888888888899</v>
      </c>
      <c r="CK51" s="19">
        <f t="shared" si="190"/>
        <v>176.98777777777775</v>
      </c>
      <c r="CL51" s="19">
        <f t="shared" si="190"/>
        <v>563.11111111111097</v>
      </c>
      <c r="CM51" s="19">
        <f t="shared" si="190"/>
        <v>140.77777777777774</v>
      </c>
      <c r="CN51" s="19">
        <f t="shared" si="190"/>
        <v>703.88888888888891</v>
      </c>
      <c r="CO51" s="19">
        <f t="shared" si="190"/>
        <v>140.77777777777774</v>
      </c>
      <c r="CP51" s="19">
        <f t="shared" si="190"/>
        <v>422.33333333333326</v>
      </c>
      <c r="CQ51" s="19">
        <f t="shared" si="190"/>
        <v>422.33333333333326</v>
      </c>
      <c r="CR51" s="19">
        <f>SUM(CR28:CR50)</f>
        <v>0</v>
      </c>
      <c r="CS51" s="19">
        <f t="shared" ref="CS51:CT51" si="192">SUM(CS28:CS50)</f>
        <v>0</v>
      </c>
      <c r="CT51" s="19">
        <f t="shared" si="192"/>
        <v>0</v>
      </c>
      <c r="CU51" s="19">
        <f t="shared" ref="CU51" si="193">SUM(CU28:CU50)</f>
        <v>0</v>
      </c>
      <c r="CV51" s="19">
        <f t="shared" ref="CV51" si="194">SUM(CV28:CV50)</f>
        <v>0</v>
      </c>
      <c r="CW51" s="41">
        <f t="shared" si="187"/>
        <v>139.38518518518518</v>
      </c>
      <c r="CX51" s="19">
        <f t="shared" si="187"/>
        <v>59.385185185185186</v>
      </c>
      <c r="CY51" s="19">
        <f t="shared" si="187"/>
        <v>129.38518518518518</v>
      </c>
      <c r="CZ51" s="19">
        <f t="shared" ref="CZ51:DE51" si="195">SUM(CZ28:CZ50)</f>
        <v>39.385185185185186</v>
      </c>
      <c r="DA51" s="19">
        <f t="shared" si="195"/>
        <v>0</v>
      </c>
      <c r="DB51" s="19">
        <f t="shared" si="195"/>
        <v>0</v>
      </c>
      <c r="DC51" s="19">
        <f t="shared" si="195"/>
        <v>0</v>
      </c>
      <c r="DD51" s="19">
        <f t="shared" si="195"/>
        <v>0</v>
      </c>
      <c r="DE51" s="19">
        <f t="shared" si="195"/>
        <v>0</v>
      </c>
      <c r="DF51" s="19">
        <f t="shared" si="187"/>
        <v>50.911925925925921</v>
      </c>
      <c r="DG51" s="19">
        <f t="shared" si="187"/>
        <v>11.799185185185184</v>
      </c>
      <c r="DH51" s="19">
        <f t="shared" si="187"/>
        <v>37.540740740740738</v>
      </c>
      <c r="DI51" s="19">
        <f t="shared" si="187"/>
        <v>9.3851851851851844</v>
      </c>
      <c r="DJ51" s="19">
        <f t="shared" si="187"/>
        <v>46.925925925925924</v>
      </c>
      <c r="DK51" s="19">
        <f t="shared" si="187"/>
        <v>9.3851851851851844</v>
      </c>
      <c r="DL51" s="19">
        <f t="shared" si="187"/>
        <v>28.155555555555559</v>
      </c>
      <c r="DM51" s="19">
        <f t="shared" si="187"/>
        <v>28.155555555555559</v>
      </c>
      <c r="DN51" s="19">
        <f t="shared" si="187"/>
        <v>0</v>
      </c>
      <c r="DO51" s="19">
        <f t="shared" si="187"/>
        <v>0</v>
      </c>
      <c r="DP51" s="19">
        <f t="shared" ref="DP51" si="196">SUM(DP28:DP50)</f>
        <v>0</v>
      </c>
      <c r="DQ51" s="19">
        <f t="shared" si="187"/>
        <v>0</v>
      </c>
      <c r="DR51" s="42">
        <f t="shared" si="187"/>
        <v>0</v>
      </c>
    </row>
    <row r="52" spans="1:122" x14ac:dyDescent="0.25">
      <c r="B52" s="6"/>
      <c r="H52" s="13"/>
      <c r="I52" s="13"/>
      <c r="J52" s="13"/>
      <c r="K52" s="13"/>
      <c r="L52" s="20"/>
      <c r="M52" s="20"/>
      <c r="N52" s="20"/>
      <c r="O52" s="20"/>
      <c r="P52" s="20"/>
      <c r="Q52" s="20"/>
      <c r="R52" s="20"/>
      <c r="S52" s="20"/>
      <c r="T52" s="20"/>
      <c r="U52" s="20"/>
      <c r="V52" s="20"/>
      <c r="W52" s="20"/>
      <c r="X52" s="20"/>
      <c r="Y52" s="20"/>
      <c r="Z52" s="20"/>
      <c r="AA52" s="20"/>
      <c r="AB52" s="20"/>
      <c r="AC52" s="20"/>
      <c r="AD52" s="20"/>
      <c r="AE52" s="20"/>
      <c r="AF52" s="20"/>
      <c r="AG52" s="20"/>
      <c r="AH52" s="58"/>
      <c r="AI52" s="36"/>
      <c r="AJ52" s="21"/>
      <c r="AK52" s="21"/>
      <c r="AL52" s="21"/>
      <c r="AM52" s="21"/>
      <c r="AN52" s="21"/>
      <c r="AO52" s="21"/>
      <c r="AP52" s="21"/>
      <c r="AQ52" s="21"/>
      <c r="AR52" s="21"/>
      <c r="AS52" s="21"/>
      <c r="AT52" s="21"/>
      <c r="AU52" s="21"/>
      <c r="AV52" s="21"/>
      <c r="AW52" s="21"/>
      <c r="AX52" s="21"/>
      <c r="AY52" s="21"/>
      <c r="AZ52" s="21"/>
      <c r="BA52" s="21"/>
      <c r="BB52" s="21"/>
      <c r="BC52" s="21"/>
      <c r="BD52" s="21"/>
      <c r="BE52" s="36"/>
      <c r="BF52" s="21"/>
      <c r="BG52" s="21"/>
      <c r="BH52" s="21"/>
      <c r="BI52" s="21"/>
      <c r="BJ52" s="21"/>
      <c r="BK52" s="21"/>
      <c r="BL52" s="21"/>
      <c r="BM52" s="21"/>
      <c r="BN52" s="21"/>
      <c r="BO52" s="21"/>
      <c r="BP52" s="21"/>
      <c r="BQ52" s="21"/>
      <c r="BR52" s="21"/>
      <c r="BS52" s="21"/>
      <c r="BT52" s="21"/>
      <c r="BU52" s="21"/>
      <c r="BV52" s="21"/>
      <c r="BW52" s="21"/>
      <c r="BX52" s="21"/>
      <c r="BY52" s="21"/>
      <c r="BZ52" s="21"/>
      <c r="CA52" s="36"/>
      <c r="CB52" s="21"/>
      <c r="CC52" s="21"/>
      <c r="CD52" s="21"/>
      <c r="CE52" s="21"/>
      <c r="CF52" s="21"/>
      <c r="CG52" s="21"/>
      <c r="CH52" s="21"/>
      <c r="CI52" s="21"/>
      <c r="CJ52" s="21"/>
      <c r="CK52" s="21"/>
      <c r="CL52" s="21"/>
      <c r="CM52" s="21"/>
      <c r="CN52" s="21"/>
      <c r="CO52" s="21"/>
      <c r="CP52" s="21"/>
      <c r="CQ52" s="21"/>
      <c r="CR52" s="21"/>
      <c r="CS52" s="21"/>
      <c r="CT52" s="21"/>
      <c r="CU52" s="21"/>
      <c r="CV52" s="21"/>
      <c r="CW52" s="51"/>
      <c r="CX52" s="21"/>
      <c r="CY52" s="21"/>
      <c r="CZ52" s="21"/>
      <c r="DA52" s="21"/>
      <c r="DB52" s="21"/>
      <c r="DC52" s="21"/>
      <c r="DD52" s="21"/>
      <c r="DE52" s="21"/>
      <c r="DF52" s="21"/>
      <c r="DG52" s="21"/>
      <c r="DH52" s="21"/>
      <c r="DI52" s="21"/>
      <c r="DJ52" s="21"/>
      <c r="DR52" s="27"/>
    </row>
    <row r="53" spans="1:122" x14ac:dyDescent="0.25">
      <c r="B53" s="6"/>
      <c r="H53" s="13"/>
      <c r="I53" s="13"/>
      <c r="J53" s="13"/>
      <c r="K53" s="13"/>
      <c r="L53" s="20"/>
      <c r="M53" s="20"/>
      <c r="N53" s="20"/>
      <c r="O53" s="20"/>
      <c r="P53" s="20"/>
      <c r="Q53" s="20"/>
      <c r="R53" s="20"/>
      <c r="S53" s="20"/>
      <c r="T53" s="20"/>
      <c r="U53" s="20"/>
      <c r="V53" s="20"/>
      <c r="W53" s="20"/>
      <c r="X53" s="20"/>
      <c r="Y53" s="20"/>
      <c r="Z53" s="20"/>
      <c r="AA53" s="20"/>
      <c r="AB53" s="20"/>
      <c r="AC53" s="20"/>
      <c r="AD53" s="20"/>
      <c r="AE53" s="20"/>
      <c r="AF53" s="20"/>
      <c r="AG53" s="20"/>
      <c r="AH53" s="58"/>
      <c r="AI53" s="36"/>
      <c r="AJ53" s="21"/>
      <c r="AK53" s="21"/>
      <c r="AL53" s="21"/>
      <c r="AM53" s="21"/>
      <c r="AN53" s="21"/>
      <c r="AO53" s="21"/>
      <c r="AP53" s="21"/>
      <c r="AQ53" s="21"/>
      <c r="AR53" s="21"/>
      <c r="AS53" s="21"/>
      <c r="AT53" s="21"/>
      <c r="AU53" s="21"/>
      <c r="AV53" s="21"/>
      <c r="AW53" s="21"/>
      <c r="AX53" s="21"/>
      <c r="AY53" s="21"/>
      <c r="AZ53" s="21"/>
      <c r="BA53" s="21"/>
      <c r="BB53" s="21"/>
      <c r="BC53" s="21"/>
      <c r="BD53" s="21"/>
      <c r="BE53" s="36"/>
      <c r="BF53" s="21"/>
      <c r="BG53" s="21"/>
      <c r="BH53" s="21"/>
      <c r="BI53" s="21"/>
      <c r="BJ53" s="21"/>
      <c r="BK53" s="21"/>
      <c r="BL53" s="21"/>
      <c r="BM53" s="21"/>
      <c r="BN53" s="21"/>
      <c r="BO53" s="21"/>
      <c r="BP53" s="21"/>
      <c r="BQ53" s="21"/>
      <c r="BR53" s="21"/>
      <c r="BS53" s="21"/>
      <c r="BT53" s="21"/>
      <c r="BU53" s="21"/>
      <c r="BV53" s="21"/>
      <c r="BW53" s="21"/>
      <c r="BX53" s="21"/>
      <c r="BY53" s="21"/>
      <c r="BZ53" s="21"/>
      <c r="CA53" s="36"/>
      <c r="CB53" s="21"/>
      <c r="CC53" s="21"/>
      <c r="CD53" s="21"/>
      <c r="CE53" s="21"/>
      <c r="CF53" s="21"/>
      <c r="CG53" s="21"/>
      <c r="CH53" s="21"/>
      <c r="CI53" s="21"/>
      <c r="CJ53" s="21"/>
      <c r="CK53" s="21"/>
      <c r="CL53" s="21"/>
      <c r="CM53" s="21"/>
      <c r="CN53" s="21"/>
      <c r="CO53" s="21"/>
      <c r="CP53" s="21"/>
      <c r="CQ53" s="21"/>
      <c r="CR53" s="21"/>
      <c r="CS53" s="21"/>
      <c r="CT53" s="21"/>
      <c r="CU53" s="21"/>
      <c r="CV53" s="21"/>
      <c r="CW53" s="36"/>
      <c r="CX53" s="21"/>
      <c r="CY53" s="21"/>
      <c r="CZ53" s="21"/>
      <c r="DA53" s="21"/>
      <c r="DB53" s="21"/>
      <c r="DC53" s="21"/>
      <c r="DD53" s="21"/>
      <c r="DE53" s="21"/>
      <c r="DF53" s="21"/>
      <c r="DG53" s="21"/>
      <c r="DH53" s="21"/>
      <c r="DI53" s="21"/>
      <c r="DJ53" s="21"/>
      <c r="DR53" s="27"/>
    </row>
    <row r="54" spans="1:122" x14ac:dyDescent="0.25">
      <c r="H54" s="13"/>
      <c r="I54" s="13"/>
      <c r="J54" s="13"/>
      <c r="K54" s="13"/>
      <c r="L54" s="20"/>
      <c r="M54" s="20"/>
      <c r="N54" s="20"/>
      <c r="O54" s="20"/>
      <c r="P54" s="20"/>
      <c r="Q54" s="20"/>
      <c r="R54" s="20"/>
      <c r="S54" s="20"/>
      <c r="T54" s="20"/>
      <c r="U54" s="20"/>
      <c r="V54" s="20"/>
      <c r="W54" s="20"/>
      <c r="X54" s="20"/>
      <c r="Y54" s="20"/>
      <c r="Z54" s="20"/>
      <c r="AA54" s="20"/>
      <c r="AB54" s="20"/>
      <c r="AC54" s="20"/>
      <c r="AD54" s="20"/>
      <c r="AE54" s="20"/>
      <c r="AF54" s="20"/>
      <c r="AG54" s="20"/>
      <c r="AH54" s="58"/>
      <c r="AI54" s="36"/>
      <c r="AJ54" s="21"/>
      <c r="AK54" s="21"/>
      <c r="AL54" s="21"/>
      <c r="AM54" s="21"/>
      <c r="AN54" s="21"/>
      <c r="AO54" s="21"/>
      <c r="AP54" s="21"/>
      <c r="AQ54" s="21"/>
      <c r="AR54" s="21"/>
      <c r="AS54" s="21"/>
      <c r="AT54" s="21"/>
      <c r="AU54" s="21"/>
      <c r="AV54" s="21"/>
      <c r="AW54" s="21"/>
      <c r="AX54" s="21"/>
      <c r="AY54" s="21"/>
      <c r="AZ54" s="21"/>
      <c r="BA54" s="21"/>
      <c r="BB54" s="21"/>
      <c r="BC54" s="21"/>
      <c r="BD54" s="21"/>
      <c r="BE54" s="36"/>
      <c r="BF54" s="21"/>
      <c r="BG54" s="21"/>
      <c r="BH54" s="21"/>
      <c r="BI54" s="21"/>
      <c r="BJ54" s="21"/>
      <c r="BK54" s="21"/>
      <c r="BL54" s="21"/>
      <c r="BM54" s="21"/>
      <c r="BN54" s="21"/>
      <c r="BO54" s="21"/>
      <c r="BP54" s="21"/>
      <c r="BQ54" s="21"/>
      <c r="BR54" s="21"/>
      <c r="BS54" s="21"/>
      <c r="BT54" s="21"/>
      <c r="BU54" s="21"/>
      <c r="BV54" s="21"/>
      <c r="BW54" s="21"/>
      <c r="BX54" s="21"/>
      <c r="BY54" s="21"/>
      <c r="BZ54" s="21"/>
      <c r="CA54" s="36"/>
      <c r="CB54" s="21"/>
      <c r="CC54" s="21"/>
      <c r="CD54" s="21"/>
      <c r="CE54" s="21"/>
      <c r="CF54" s="21"/>
      <c r="CG54" s="21"/>
      <c r="CH54" s="21"/>
      <c r="CI54" s="21"/>
      <c r="CJ54" s="21"/>
      <c r="CK54" s="21"/>
      <c r="CL54" s="21"/>
      <c r="CM54" s="21"/>
      <c r="CN54" s="21"/>
      <c r="CO54" s="21"/>
      <c r="CP54" s="21"/>
      <c r="CQ54" s="21"/>
      <c r="CR54" s="21"/>
      <c r="CS54" s="21"/>
      <c r="CT54" s="21"/>
      <c r="CU54" s="21"/>
      <c r="CV54" s="21"/>
      <c r="CW54" s="36"/>
      <c r="CX54" s="21"/>
      <c r="CY54" s="21"/>
      <c r="CZ54" s="21"/>
      <c r="DA54" s="21"/>
      <c r="DB54" s="21"/>
      <c r="DC54" s="21"/>
      <c r="DD54" s="21"/>
      <c r="DE54" s="21"/>
      <c r="DF54" s="21"/>
      <c r="DG54" s="21"/>
      <c r="DH54" s="21"/>
      <c r="DI54" s="21"/>
      <c r="DJ54" s="21"/>
      <c r="DR54" s="27"/>
    </row>
    <row r="55" spans="1:122" x14ac:dyDescent="0.25">
      <c r="H55" s="13"/>
      <c r="I55" s="13"/>
      <c r="J55" s="13"/>
      <c r="K55" s="13"/>
      <c r="L55" s="20"/>
      <c r="M55" s="20"/>
      <c r="N55" s="20"/>
      <c r="O55" s="20"/>
      <c r="P55" s="20"/>
      <c r="Q55" s="20"/>
      <c r="R55" s="20"/>
      <c r="S55" s="20"/>
      <c r="T55" s="20"/>
      <c r="U55" s="20"/>
      <c r="V55" s="20"/>
      <c r="W55" s="20"/>
      <c r="X55" s="20"/>
      <c r="Y55" s="20"/>
      <c r="Z55" s="20"/>
      <c r="AA55" s="20"/>
      <c r="AB55" s="20"/>
      <c r="AC55" s="20"/>
      <c r="AD55" s="20"/>
      <c r="AE55" s="20"/>
      <c r="AF55" s="20"/>
      <c r="AG55" s="20"/>
      <c r="AH55" s="58"/>
      <c r="AI55" s="36"/>
      <c r="AJ55" s="21"/>
      <c r="AK55" s="21"/>
      <c r="AL55" s="21"/>
      <c r="AM55" s="21"/>
      <c r="AN55" s="21"/>
      <c r="AO55" s="21"/>
      <c r="AP55" s="21"/>
      <c r="AQ55" s="21"/>
      <c r="AR55" s="21"/>
      <c r="AS55" s="21"/>
      <c r="AT55" s="21"/>
      <c r="AU55" s="21"/>
      <c r="AV55" s="21"/>
      <c r="AW55" s="21"/>
      <c r="AX55" s="21"/>
      <c r="AY55" s="21"/>
      <c r="AZ55" s="21"/>
      <c r="BA55" s="21"/>
      <c r="BB55" s="21"/>
      <c r="BC55" s="21"/>
      <c r="BD55" s="21"/>
      <c r="BE55" s="36"/>
      <c r="BF55" s="21"/>
      <c r="BG55" s="21"/>
      <c r="BH55" s="21"/>
      <c r="BI55" s="21"/>
      <c r="BJ55" s="21"/>
      <c r="BK55" s="21"/>
      <c r="BL55" s="21"/>
      <c r="BM55" s="21"/>
      <c r="BN55" s="21"/>
      <c r="BO55" s="21"/>
      <c r="BP55" s="21"/>
      <c r="BQ55" s="21"/>
      <c r="BR55" s="21"/>
      <c r="BS55" s="21"/>
      <c r="BT55" s="21"/>
      <c r="BU55" s="21"/>
      <c r="BV55" s="21"/>
      <c r="BW55" s="21"/>
      <c r="BX55" s="21"/>
      <c r="BY55" s="21"/>
      <c r="BZ55" s="21"/>
      <c r="CA55" s="36"/>
      <c r="CB55" s="21"/>
      <c r="CC55" s="21"/>
      <c r="CD55" s="21"/>
      <c r="CE55" s="21"/>
      <c r="CF55" s="21"/>
      <c r="CG55" s="21"/>
      <c r="CH55" s="21"/>
      <c r="CI55" s="21"/>
      <c r="CJ55" s="21"/>
      <c r="CK55" s="21"/>
      <c r="CL55" s="21"/>
      <c r="CM55" s="21"/>
      <c r="CN55" s="21"/>
      <c r="CO55" s="21"/>
      <c r="CP55" s="21"/>
      <c r="CQ55" s="21"/>
      <c r="CR55" s="21"/>
      <c r="CS55" s="21"/>
      <c r="CT55" s="21"/>
      <c r="CU55" s="21"/>
      <c r="CV55" s="21"/>
      <c r="CW55" s="36"/>
      <c r="CX55" s="21"/>
      <c r="CY55" s="21"/>
      <c r="CZ55" s="21"/>
      <c r="DA55" s="21"/>
      <c r="DB55" s="21"/>
      <c r="DC55" s="21"/>
      <c r="DD55" s="21"/>
      <c r="DE55" s="21"/>
      <c r="DF55" s="21"/>
      <c r="DG55" s="21"/>
      <c r="DH55" s="21"/>
      <c r="DI55" s="21"/>
      <c r="DJ55" s="21"/>
      <c r="DR55" s="27"/>
    </row>
    <row r="56" spans="1:122" ht="53.4" thickBot="1" x14ac:dyDescent="0.3">
      <c r="A56" s="4" t="s">
        <v>151</v>
      </c>
      <c r="C56" s="14" t="s">
        <v>698</v>
      </c>
      <c r="E56" s="14" t="s">
        <v>678</v>
      </c>
      <c r="F56" s="521" t="s">
        <v>699</v>
      </c>
      <c r="G56" s="20"/>
      <c r="H56" s="532" t="s">
        <v>700</v>
      </c>
      <c r="I56" s="518" t="s">
        <v>701</v>
      </c>
      <c r="J56" s="532" t="s">
        <v>681</v>
      </c>
      <c r="K56" s="532" t="s">
        <v>682</v>
      </c>
      <c r="L56" s="20"/>
      <c r="M56" s="20"/>
      <c r="N56" s="20"/>
      <c r="O56" s="20"/>
      <c r="P56" s="20"/>
      <c r="Q56" s="20"/>
      <c r="R56" s="20"/>
      <c r="S56" s="20"/>
      <c r="T56" s="20"/>
      <c r="U56" s="20"/>
      <c r="V56" s="20"/>
      <c r="W56" s="20"/>
      <c r="X56" s="20"/>
      <c r="Y56" s="20"/>
      <c r="Z56" s="20"/>
      <c r="AA56" s="20"/>
      <c r="AB56" s="20"/>
      <c r="AC56" s="20"/>
      <c r="AD56" s="20"/>
      <c r="AE56" s="20"/>
      <c r="AF56" s="20"/>
      <c r="AG56" s="20"/>
      <c r="AH56" s="58"/>
      <c r="AI56" s="36"/>
      <c r="AJ56" s="21"/>
      <c r="AK56" s="21"/>
      <c r="AL56" s="21"/>
      <c r="AM56" s="21"/>
      <c r="AN56" s="21"/>
      <c r="AO56" s="21"/>
      <c r="AP56" s="21"/>
      <c r="AQ56" s="21"/>
      <c r="AR56" s="21"/>
      <c r="AS56" s="21"/>
      <c r="AT56" s="21"/>
      <c r="AU56" s="21"/>
      <c r="AV56" s="21"/>
      <c r="AW56" s="21"/>
      <c r="AX56" s="21"/>
      <c r="AY56" s="21"/>
      <c r="AZ56" s="21"/>
      <c r="BA56" s="21"/>
      <c r="BB56" s="21"/>
      <c r="BC56" s="21"/>
      <c r="BD56" s="21"/>
      <c r="BE56" s="36"/>
      <c r="BF56" s="21"/>
      <c r="BG56" s="21"/>
      <c r="BH56" s="21"/>
      <c r="BI56" s="21"/>
      <c r="BJ56" s="21"/>
      <c r="BK56" s="21"/>
      <c r="BL56" s="21"/>
      <c r="BM56" s="21"/>
      <c r="BN56" s="21"/>
      <c r="BO56" s="21"/>
      <c r="BP56" s="21"/>
      <c r="BQ56" s="21"/>
      <c r="BR56" s="21"/>
      <c r="BS56" s="21"/>
      <c r="BT56" s="21"/>
      <c r="BU56" s="21"/>
      <c r="BV56" s="21"/>
      <c r="BW56" s="21"/>
      <c r="BX56" s="21"/>
      <c r="BY56" s="21"/>
      <c r="BZ56" s="21"/>
      <c r="CA56" s="36"/>
      <c r="CB56" s="21"/>
      <c r="CC56" s="21"/>
      <c r="CD56" s="21"/>
      <c r="CE56" s="21"/>
      <c r="CF56" s="21"/>
      <c r="CG56" s="21"/>
      <c r="CH56" s="21"/>
      <c r="CI56" s="21"/>
      <c r="CJ56" s="21"/>
      <c r="CK56" s="21"/>
      <c r="CL56" s="21"/>
      <c r="CM56" s="21"/>
      <c r="CN56" s="21"/>
      <c r="CO56" s="21"/>
      <c r="CP56" s="21"/>
      <c r="CQ56" s="21"/>
      <c r="CR56" s="21"/>
      <c r="CS56" s="21"/>
      <c r="CT56" s="21"/>
      <c r="CU56" s="21"/>
      <c r="CV56" s="21"/>
      <c r="CW56" s="36"/>
      <c r="CX56" s="21"/>
      <c r="CY56" s="21"/>
      <c r="CZ56" s="21"/>
      <c r="DA56" s="21"/>
      <c r="DB56" s="21"/>
      <c r="DC56" s="21"/>
      <c r="DD56" s="21"/>
      <c r="DE56" s="21"/>
      <c r="DF56" s="21"/>
      <c r="DG56" s="21"/>
      <c r="DH56" s="21"/>
      <c r="DI56" s="21"/>
      <c r="DJ56" s="21"/>
      <c r="DR56" s="27"/>
    </row>
    <row r="57" spans="1:122" s="732" customFormat="1" ht="13.8" thickBot="1" x14ac:dyDescent="0.3">
      <c r="B57" s="730" t="str">
        <f>'Gårdens info'!C105</f>
        <v>Plockningskorg</v>
      </c>
      <c r="C57" s="733">
        <f>'Gårdens info'!D105</f>
        <v>4.5999999999999996</v>
      </c>
      <c r="D57" s="734" t="s">
        <v>7</v>
      </c>
      <c r="E57" s="733">
        <f>'Gårdens info'!J105</f>
        <v>2010</v>
      </c>
      <c r="F57" s="751">
        <f>'Gårdens info'!G105</f>
        <v>50</v>
      </c>
      <c r="G57" s="752" t="s">
        <v>15</v>
      </c>
      <c r="H57" s="753">
        <v>5</v>
      </c>
      <c r="I57" s="730">
        <f>C57*F57</f>
        <v>229.99999999999997</v>
      </c>
      <c r="J57" s="735">
        <v>0</v>
      </c>
      <c r="K57" s="736">
        <v>0.05</v>
      </c>
      <c r="L57" s="737">
        <v>0</v>
      </c>
      <c r="M57" s="738">
        <v>0</v>
      </c>
      <c r="N57" s="738">
        <v>0</v>
      </c>
      <c r="O57" s="738">
        <v>0</v>
      </c>
      <c r="P57" s="738">
        <v>0</v>
      </c>
      <c r="Q57" s="738">
        <v>0</v>
      </c>
      <c r="R57" s="738">
        <v>0</v>
      </c>
      <c r="S57" s="738">
        <v>0</v>
      </c>
      <c r="T57" s="738">
        <v>0</v>
      </c>
      <c r="U57" s="738">
        <f>'Gårdens info'!$D$22/('Gårdens info'!$D$22+'Gårdens info'!$D$23+'Gårdens info'!$D$24+'Gårdens info'!$D$25+'Gårdens info'!$D$27)</f>
        <v>0.41666666666666669</v>
      </c>
      <c r="V57" s="738">
        <f>'Gårdens info'!$D$23/('Gårdens info'!$D$22+'Gårdens info'!$D$23+'Gårdens info'!$D$24+'Gårdens info'!$D$25+'Gårdens info'!$D$27)</f>
        <v>8.3333333333333329E-2</v>
      </c>
      <c r="W57" s="738">
        <f>'Gårdens info'!$D$24/('Gårdens info'!$D$22+'Gårdens info'!$D$23+'Gårdens info'!$D$24+'Gårdens info'!$D$25+'Gårdens info'!$D$27)</f>
        <v>0.33333333333333331</v>
      </c>
      <c r="X57" s="738">
        <f>'Gårdens info'!$D$25/('Gårdens info'!$D$22+'Gårdens info'!$D$23+'Gårdens info'!$D$24+'Gårdens info'!$D$25+'Gårdens info'!$D$27)</f>
        <v>8.3333333333333329E-2</v>
      </c>
      <c r="Y57" s="738">
        <v>0</v>
      </c>
      <c r="Z57" s="738">
        <f>'Gårdens info'!$D$27/('Gårdens info'!$D$22+'Gårdens info'!$D$23+'Gårdens info'!$D$24+'Gårdens info'!$D$25+'Gårdens info'!$D$27)</f>
        <v>8.3333333333333329E-2</v>
      </c>
      <c r="AA57" s="738">
        <v>0</v>
      </c>
      <c r="AB57" s="738">
        <v>0</v>
      </c>
      <c r="AC57" s="738">
        <v>0</v>
      </c>
      <c r="AD57" s="738">
        <v>0</v>
      </c>
      <c r="AE57" s="738">
        <v>0</v>
      </c>
      <c r="AF57" s="738">
        <v>0</v>
      </c>
      <c r="AG57" s="738">
        <v>0</v>
      </c>
      <c r="AH57" s="743">
        <f>+SUM(L57:AG57)</f>
        <v>1</v>
      </c>
      <c r="AI57" s="741">
        <f>IF((($C$7-$E57)&lt;=$H57),(($I57-$J57)/$H57*L57),0)</f>
        <v>0</v>
      </c>
      <c r="AJ57" s="740">
        <f>IF((($C$7-$E57)&lt;=$H57),(($I57-$J57)/$H57*M57),0)</f>
        <v>0</v>
      </c>
      <c r="AK57" s="740">
        <f>IF((($C$7-$E57)&lt;=$H57),(($I57-$J57)/$H57*N57),0)</f>
        <v>0</v>
      </c>
      <c r="AL57" s="740">
        <f>IF((($C$7-$E57)&lt;=$H57),(($I57-$J57)/$H57*O57),0)</f>
        <v>0</v>
      </c>
      <c r="AM57" s="740">
        <f t="shared" ref="AM57:AQ70" si="197">IF((($C$7-$E57)&lt;=$H57),(($I57-$J57)/$H57*P57),0)</f>
        <v>0</v>
      </c>
      <c r="AN57" s="740">
        <f t="shared" si="197"/>
        <v>0</v>
      </c>
      <c r="AO57" s="740">
        <f t="shared" si="197"/>
        <v>0</v>
      </c>
      <c r="AP57" s="740">
        <f t="shared" si="197"/>
        <v>0</v>
      </c>
      <c r="AQ57" s="740">
        <f t="shared" si="197"/>
        <v>0</v>
      </c>
      <c r="AR57" s="740">
        <f t="shared" ref="AR57:BD57" si="198">IF((($C$7-$E57)&lt;=$H57),(($I57-$J57)/$H57*U57),0)</f>
        <v>0</v>
      </c>
      <c r="AS57" s="740">
        <f t="shared" si="198"/>
        <v>0</v>
      </c>
      <c r="AT57" s="740">
        <f t="shared" si="198"/>
        <v>0</v>
      </c>
      <c r="AU57" s="740">
        <f t="shared" si="198"/>
        <v>0</v>
      </c>
      <c r="AV57" s="740">
        <f t="shared" si="198"/>
        <v>0</v>
      </c>
      <c r="AW57" s="740">
        <f t="shared" si="198"/>
        <v>0</v>
      </c>
      <c r="AX57" s="740">
        <f t="shared" si="198"/>
        <v>0</v>
      </c>
      <c r="AY57" s="740">
        <f t="shared" si="198"/>
        <v>0</v>
      </c>
      <c r="AZ57" s="740">
        <f t="shared" si="198"/>
        <v>0</v>
      </c>
      <c r="BA57" s="740">
        <f t="shared" si="198"/>
        <v>0</v>
      </c>
      <c r="BB57" s="740">
        <f t="shared" si="198"/>
        <v>0</v>
      </c>
      <c r="BC57" s="740">
        <f t="shared" si="198"/>
        <v>0</v>
      </c>
      <c r="BD57" s="740">
        <f t="shared" si="198"/>
        <v>0</v>
      </c>
      <c r="BE57" s="741">
        <f>IF(($C$7-$E57&lt;=$H57),(($I57+$J57)/2*$C$8*L57),0)</f>
        <v>0</v>
      </c>
      <c r="BF57" s="740">
        <f>IF(($C$7-$E57&lt;=$H57),(($I57+$J57)/2*$C$8*M57),0)</f>
        <v>0</v>
      </c>
      <c r="BG57" s="740">
        <f>IF(($C$7-$E57&lt;=$H57),(($I57+$J57)/2*$C$8*N57),0)</f>
        <v>0</v>
      </c>
      <c r="BH57" s="740">
        <f>IF(($C$7-$E57&lt;=$H57),(($I57+$J57)/2*$C$8*O57),0)</f>
        <v>0</v>
      </c>
      <c r="BI57" s="740">
        <f t="shared" ref="BI57:BM70" si="199">IF(($C$7-$E57&lt;=$H57),(($I57+$J57)/2*$C$8*P57),0)</f>
        <v>0</v>
      </c>
      <c r="BJ57" s="740">
        <f t="shared" si="199"/>
        <v>0</v>
      </c>
      <c r="BK57" s="740">
        <f t="shared" si="199"/>
        <v>0</v>
      </c>
      <c r="BL57" s="740">
        <f t="shared" si="199"/>
        <v>0</v>
      </c>
      <c r="BM57" s="740">
        <f t="shared" si="199"/>
        <v>0</v>
      </c>
      <c r="BN57" s="740">
        <f t="shared" ref="BN57:BZ57" si="200">IF(($C$7-$E57&lt;=$H57),(($I57+$J57)/2*$C$8*U57),0)</f>
        <v>0</v>
      </c>
      <c r="BO57" s="740">
        <f t="shared" si="200"/>
        <v>0</v>
      </c>
      <c r="BP57" s="740">
        <f t="shared" si="200"/>
        <v>0</v>
      </c>
      <c r="BQ57" s="740">
        <f t="shared" si="200"/>
        <v>0</v>
      </c>
      <c r="BR57" s="740">
        <f t="shared" si="200"/>
        <v>0</v>
      </c>
      <c r="BS57" s="740">
        <f t="shared" si="200"/>
        <v>0</v>
      </c>
      <c r="BT57" s="740">
        <f t="shared" si="200"/>
        <v>0</v>
      </c>
      <c r="BU57" s="740">
        <f t="shared" si="200"/>
        <v>0</v>
      </c>
      <c r="BV57" s="740">
        <f t="shared" si="200"/>
        <v>0</v>
      </c>
      <c r="BW57" s="740">
        <f t="shared" si="200"/>
        <v>0</v>
      </c>
      <c r="BX57" s="740">
        <f t="shared" si="200"/>
        <v>0</v>
      </c>
      <c r="BY57" s="740">
        <f t="shared" si="200"/>
        <v>0</v>
      </c>
      <c r="BZ57" s="740">
        <f t="shared" si="200"/>
        <v>0</v>
      </c>
      <c r="CA57" s="741">
        <f>$I57*$K57*L57</f>
        <v>0</v>
      </c>
      <c r="CB57" s="740">
        <f>$I57*$K57*M57</f>
        <v>0</v>
      </c>
      <c r="CC57" s="740">
        <f>$I57*$K57*N57</f>
        <v>0</v>
      </c>
      <c r="CD57" s="740">
        <f>$I57*$K57*O57</f>
        <v>0</v>
      </c>
      <c r="CE57" s="740">
        <f t="shared" ref="CE57:CI70" si="201">$I57*$K57*P57</f>
        <v>0</v>
      </c>
      <c r="CF57" s="740">
        <f t="shared" si="201"/>
        <v>0</v>
      </c>
      <c r="CG57" s="740">
        <f t="shared" si="201"/>
        <v>0</v>
      </c>
      <c r="CH57" s="740">
        <f t="shared" si="201"/>
        <v>0</v>
      </c>
      <c r="CI57" s="740">
        <f t="shared" si="201"/>
        <v>0</v>
      </c>
      <c r="CJ57" s="740">
        <f t="shared" ref="CJ57:CV57" si="202">$I57*$K57*U57</f>
        <v>4.791666666666667</v>
      </c>
      <c r="CK57" s="740">
        <f t="shared" si="202"/>
        <v>0.95833333333333326</v>
      </c>
      <c r="CL57" s="740">
        <f t="shared" si="202"/>
        <v>3.833333333333333</v>
      </c>
      <c r="CM57" s="740">
        <f t="shared" si="202"/>
        <v>0.95833333333333326</v>
      </c>
      <c r="CN57" s="740">
        <f t="shared" si="202"/>
        <v>0</v>
      </c>
      <c r="CO57" s="740">
        <f t="shared" si="202"/>
        <v>0.95833333333333326</v>
      </c>
      <c r="CP57" s="740">
        <f t="shared" si="202"/>
        <v>0</v>
      </c>
      <c r="CQ57" s="740">
        <f t="shared" si="202"/>
        <v>0</v>
      </c>
      <c r="CR57" s="740">
        <f t="shared" si="202"/>
        <v>0</v>
      </c>
      <c r="CS57" s="740">
        <f t="shared" si="202"/>
        <v>0</v>
      </c>
      <c r="CT57" s="740">
        <f t="shared" si="202"/>
        <v>0</v>
      </c>
      <c r="CU57" s="740">
        <f t="shared" si="202"/>
        <v>0</v>
      </c>
      <c r="CV57" s="740">
        <f t="shared" si="202"/>
        <v>0</v>
      </c>
      <c r="CW57" s="741">
        <f>$I57*$C$9*L57</f>
        <v>0</v>
      </c>
      <c r="CX57" s="740">
        <f>$I57*$C$9*M57</f>
        <v>0</v>
      </c>
      <c r="CY57" s="740">
        <f>$I57*$C$9*N57</f>
        <v>0</v>
      </c>
      <c r="CZ57" s="740">
        <f>$I57*$C$9*O57</f>
        <v>0</v>
      </c>
      <c r="DA57" s="740">
        <f t="shared" ref="DA57:DE70" si="203">$I57*$C$9*P57</f>
        <v>0</v>
      </c>
      <c r="DB57" s="740">
        <f t="shared" si="203"/>
        <v>0</v>
      </c>
      <c r="DC57" s="740">
        <f t="shared" si="203"/>
        <v>0</v>
      </c>
      <c r="DD57" s="740">
        <f t="shared" si="203"/>
        <v>0</v>
      </c>
      <c r="DE57" s="740">
        <f t="shared" si="203"/>
        <v>0</v>
      </c>
      <c r="DF57" s="740">
        <f t="shared" ref="DF57:DR57" si="204">$I57*$C$9*U57</f>
        <v>0.19166666666666665</v>
      </c>
      <c r="DG57" s="740">
        <f t="shared" si="204"/>
        <v>3.833333333333333E-2</v>
      </c>
      <c r="DH57" s="740">
        <f t="shared" si="204"/>
        <v>0.15333333333333332</v>
      </c>
      <c r="DI57" s="740">
        <f t="shared" si="204"/>
        <v>3.833333333333333E-2</v>
      </c>
      <c r="DJ57" s="740">
        <f t="shared" si="204"/>
        <v>0</v>
      </c>
      <c r="DK57" s="740">
        <f t="shared" si="204"/>
        <v>3.833333333333333E-2</v>
      </c>
      <c r="DL57" s="740">
        <f t="shared" si="204"/>
        <v>0</v>
      </c>
      <c r="DM57" s="740">
        <f t="shared" si="204"/>
        <v>0</v>
      </c>
      <c r="DN57" s="740">
        <f t="shared" si="204"/>
        <v>0</v>
      </c>
      <c r="DO57" s="740">
        <f t="shared" si="204"/>
        <v>0</v>
      </c>
      <c r="DP57" s="740">
        <f t="shared" si="204"/>
        <v>0</v>
      </c>
      <c r="DQ57" s="740">
        <f t="shared" si="204"/>
        <v>0</v>
      </c>
      <c r="DR57" s="742">
        <f t="shared" si="204"/>
        <v>0</v>
      </c>
    </row>
    <row r="58" spans="1:122" s="732" customFormat="1" ht="13.8" thickBot="1" x14ac:dyDescent="0.3">
      <c r="B58" s="730" t="str">
        <f>'Gårdens info'!C106</f>
        <v>Bärställning för lådor</v>
      </c>
      <c r="C58" s="733">
        <f>'Gårdens info'!D106</f>
        <v>10</v>
      </c>
      <c r="D58" s="734" t="s">
        <v>7</v>
      </c>
      <c r="E58" s="733">
        <f>'Gårdens info'!J106</f>
        <v>2010</v>
      </c>
      <c r="F58" s="751">
        <f>'Gårdens info'!G106</f>
        <v>50</v>
      </c>
      <c r="G58" s="752" t="s">
        <v>15</v>
      </c>
      <c r="H58" s="753">
        <v>10</v>
      </c>
      <c r="I58" s="730">
        <f>C58*F58</f>
        <v>500</v>
      </c>
      <c r="J58" s="735">
        <v>0</v>
      </c>
      <c r="K58" s="736">
        <v>0.05</v>
      </c>
      <c r="L58" s="737">
        <v>0</v>
      </c>
      <c r="M58" s="738">
        <v>0</v>
      </c>
      <c r="N58" s="738">
        <v>0</v>
      </c>
      <c r="O58" s="738">
        <v>0</v>
      </c>
      <c r="P58" s="738">
        <v>0</v>
      </c>
      <c r="Q58" s="738">
        <v>0</v>
      </c>
      <c r="R58" s="738">
        <v>0</v>
      </c>
      <c r="S58" s="738">
        <v>0</v>
      </c>
      <c r="T58" s="738">
        <v>0</v>
      </c>
      <c r="U58" s="738">
        <f>'Gårdens info'!$D$22/('Gårdens info'!$D$22+'Gårdens info'!$D$23+'Gårdens info'!$D$24+'Gårdens info'!$D$25+'Gårdens info'!$D$27)</f>
        <v>0.41666666666666669</v>
      </c>
      <c r="V58" s="738">
        <f>'Gårdens info'!$D$23/('Gårdens info'!$D$22+'Gårdens info'!$D$23+'Gårdens info'!$D$24+'Gårdens info'!$D$25+'Gårdens info'!$D$27)</f>
        <v>8.3333333333333329E-2</v>
      </c>
      <c r="W58" s="738">
        <f>'Gårdens info'!$D$24/('Gårdens info'!$D$22+'Gårdens info'!$D$23+'Gårdens info'!$D$24+'Gårdens info'!$D$25+'Gårdens info'!$D$27)</f>
        <v>0.33333333333333331</v>
      </c>
      <c r="X58" s="738">
        <f>'Gårdens info'!$D$25/('Gårdens info'!$D$22+'Gårdens info'!$D$23+'Gårdens info'!$D$24+'Gårdens info'!$D$25+'Gårdens info'!$D$27)</f>
        <v>8.3333333333333329E-2</v>
      </c>
      <c r="Y58" s="738">
        <v>0</v>
      </c>
      <c r="Z58" s="738">
        <f>'Gårdens info'!$D$27/('Gårdens info'!$D$22+'Gårdens info'!$D$23+'Gårdens info'!$D$24+'Gårdens info'!$D$25+'Gårdens info'!$D$27)</f>
        <v>8.3333333333333329E-2</v>
      </c>
      <c r="AA58" s="738">
        <v>0</v>
      </c>
      <c r="AB58" s="738">
        <v>0</v>
      </c>
      <c r="AC58" s="738">
        <v>0</v>
      </c>
      <c r="AD58" s="738">
        <v>0</v>
      </c>
      <c r="AE58" s="738">
        <v>0</v>
      </c>
      <c r="AF58" s="738">
        <v>0</v>
      </c>
      <c r="AG58" s="738">
        <v>0</v>
      </c>
      <c r="AH58" s="743">
        <f t="shared" ref="AH58:AH75" si="205">+SUM(L58:AG58)</f>
        <v>1</v>
      </c>
      <c r="AI58" s="741">
        <f t="shared" ref="AI58:AI75" si="206">IF((($C$7-$E58)&lt;=$H58),(($I58-$J58)/$H58*L58),0)</f>
        <v>0</v>
      </c>
      <c r="AJ58" s="740">
        <f t="shared" ref="AJ58:AJ75" si="207">IF((($C$7-$E58)&lt;=$H58),(($I58-$J58)/$H58*M58),0)</f>
        <v>0</v>
      </c>
      <c r="AK58" s="740">
        <f t="shared" ref="AK58:AK70" si="208">IF((($C$7-$E58)&lt;=$H58),(($I58-$J58)/$H58*N58),0)</f>
        <v>0</v>
      </c>
      <c r="AL58" s="740">
        <f t="shared" ref="AL58:AL70" si="209">IF((($C$7-$E58)&lt;=$H58),(($I58-$J58)/$H58*O58),0)</f>
        <v>0</v>
      </c>
      <c r="AM58" s="740">
        <f t="shared" si="197"/>
        <v>0</v>
      </c>
      <c r="AN58" s="740">
        <f t="shared" si="197"/>
        <v>0</v>
      </c>
      <c r="AO58" s="740">
        <f t="shared" si="197"/>
        <v>0</v>
      </c>
      <c r="AP58" s="740">
        <f t="shared" si="197"/>
        <v>0</v>
      </c>
      <c r="AQ58" s="740">
        <f t="shared" si="197"/>
        <v>0</v>
      </c>
      <c r="AR58" s="740">
        <f t="shared" ref="AR58:AR75" si="210">IF((($C$7-$E58)&lt;=$H58),(($I58-$J58)/$H58*U58),0)</f>
        <v>0</v>
      </c>
      <c r="AS58" s="740">
        <f t="shared" ref="AS58:AS67" si="211">IF((($C$7-$E58)&lt;=$H58),(($I58-$J58)/$H58*V58),0)</f>
        <v>0</v>
      </c>
      <c r="AT58" s="740">
        <f t="shared" ref="AT58:AT67" si="212">IF((($C$7-$E58)&lt;=$H58),(($I58-$J58)/$H58*W58),0)</f>
        <v>0</v>
      </c>
      <c r="AU58" s="740">
        <f t="shared" ref="AU58:AU67" si="213">IF((($C$7-$E58)&lt;=$H58),(($I58-$J58)/$H58*X58),0)</f>
        <v>0</v>
      </c>
      <c r="AV58" s="740">
        <f t="shared" ref="AV58:AV75" si="214">IF((($C$7-$E58)&lt;=$H58),(($I58-$J58)/$H58*Y58),0)</f>
        <v>0</v>
      </c>
      <c r="AW58" s="740">
        <f t="shared" ref="AW58:AW75" si="215">IF((($C$7-$E58)&lt;=$H58),(($I58-$J58)/$H58*Z58),0)</f>
        <v>0</v>
      </c>
      <c r="AX58" s="740">
        <f t="shared" ref="AX58:AX75" si="216">IF((($C$7-$E58)&lt;=$H58),(($I58-$J58)/$H58*AA58),0)</f>
        <v>0</v>
      </c>
      <c r="AY58" s="740">
        <f t="shared" ref="AY58:AY75" si="217">IF((($C$7-$E58)&lt;=$H58),(($I58-$J58)/$H58*AB58),0)</f>
        <v>0</v>
      </c>
      <c r="AZ58" s="740">
        <f t="shared" ref="AZ58:AZ75" si="218">IF((($C$7-$E58)&lt;=$H58),(($I58-$J58)/$H58*AC58),0)</f>
        <v>0</v>
      </c>
      <c r="BA58" s="740">
        <f t="shared" ref="BA58:BA70" si="219">IF((($C$7-$E58)&lt;=$H58),(($I58-$J58)/$H58*AD58),0)</f>
        <v>0</v>
      </c>
      <c r="BB58" s="740">
        <f t="shared" ref="BB58:BB70" si="220">IF((($C$7-$E58)&lt;=$H58),(($I58-$J58)/$H58*AE58),0)</f>
        <v>0</v>
      </c>
      <c r="BC58" s="740">
        <f t="shared" ref="BC58:BC75" si="221">IF((($C$7-$E58)&lt;=$H58),(($I58-$J58)/$H58*AF58),0)</f>
        <v>0</v>
      </c>
      <c r="BD58" s="740">
        <f t="shared" ref="BD58:BD75" si="222">IF((($C$7-$E58)&lt;=$H58),(($I58-$J58)/$H58*AG58),0)</f>
        <v>0</v>
      </c>
      <c r="BE58" s="741">
        <f t="shared" ref="BE58:BE75" si="223">IF(($C$7-$E58&lt;=$H58),(($I58+$J58)/2*$C$8*L58),0)</f>
        <v>0</v>
      </c>
      <c r="BF58" s="740">
        <f t="shared" ref="BF58:BF75" si="224">IF(($C$7-$E58&lt;=$H58),(($I58+$J58)/2*$C$8*M58),0)</f>
        <v>0</v>
      </c>
      <c r="BG58" s="740">
        <f t="shared" ref="BG58:BG70" si="225">IF(($C$7-$E58&lt;=$H58),(($I58+$J58)/2*$C$8*N58),0)</f>
        <v>0</v>
      </c>
      <c r="BH58" s="740">
        <f t="shared" ref="BH58:BH70" si="226">IF(($C$7-$E58&lt;=$H58),(($I58+$J58)/2*$C$8*O58),0)</f>
        <v>0</v>
      </c>
      <c r="BI58" s="740">
        <f t="shared" si="199"/>
        <v>0</v>
      </c>
      <c r="BJ58" s="740">
        <f t="shared" si="199"/>
        <v>0</v>
      </c>
      <c r="BK58" s="740">
        <f t="shared" si="199"/>
        <v>0</v>
      </c>
      <c r="BL58" s="740">
        <f t="shared" si="199"/>
        <v>0</v>
      </c>
      <c r="BM58" s="740">
        <f t="shared" si="199"/>
        <v>0</v>
      </c>
      <c r="BN58" s="740">
        <f t="shared" ref="BN58:BN75" si="227">IF(($C$7-$E58&lt;=$H58),(($I58+$J58)/2*$C$8*U58),0)</f>
        <v>0</v>
      </c>
      <c r="BO58" s="740">
        <f t="shared" ref="BO58:BO75" si="228">IF(($C$7-$E58&lt;=$H58),(($I58+$J58)/2*$C$8*V58),0)</f>
        <v>0</v>
      </c>
      <c r="BP58" s="740">
        <f t="shared" ref="BP58:BP75" si="229">IF(($C$7-$E58&lt;=$H58),(($I58+$J58)/2*$C$8*W58),0)</f>
        <v>0</v>
      </c>
      <c r="BQ58" s="740">
        <f t="shared" ref="BQ58:BQ75" si="230">IF(($C$7-$E58&lt;=$H58),(($I58+$J58)/2*$C$8*X58),0)</f>
        <v>0</v>
      </c>
      <c r="BR58" s="740">
        <f t="shared" ref="BR58:BR75" si="231">IF(($C$7-$E58&lt;=$H58),(($I58+$J58)/2*$C$8*Y58),0)</f>
        <v>0</v>
      </c>
      <c r="BS58" s="740">
        <f t="shared" ref="BS58:BS75" si="232">IF(($C$7-$E58&lt;=$H58),(($I58+$J58)/2*$C$8*Z58),0)</f>
        <v>0</v>
      </c>
      <c r="BT58" s="740">
        <f t="shared" ref="BT58:BT75" si="233">IF(($C$7-$E58&lt;=$H58),(($I58+$J58)/2*$C$8*AA58),0)</f>
        <v>0</v>
      </c>
      <c r="BU58" s="740">
        <f t="shared" ref="BU58:BU75" si="234">IF(($C$7-$E58&lt;=$H58),(($I58+$J58)/2*$C$8*AB58),0)</f>
        <v>0</v>
      </c>
      <c r="BV58" s="740">
        <f t="shared" ref="BV58:BV75" si="235">IF(($C$7-$E58&lt;=$H58),(($I58+$J58)/2*$C$8*AC58),0)</f>
        <v>0</v>
      </c>
      <c r="BW58" s="740">
        <f t="shared" ref="BW58:BW70" si="236">IF(($C$7-$E58&lt;=$H58),(($I58+$J58)/2*$C$8*AD58),0)</f>
        <v>0</v>
      </c>
      <c r="BX58" s="740">
        <f t="shared" ref="BX58:BX70" si="237">IF(($C$7-$E58&lt;=$H58),(($I58+$J58)/2*$C$8*AE58),0)</f>
        <v>0</v>
      </c>
      <c r="BY58" s="740">
        <f t="shared" ref="BY58:BY75" si="238">IF(($C$7-$E58&lt;=$H58),(($I58+$J58)/2*$C$8*AF58),0)</f>
        <v>0</v>
      </c>
      <c r="BZ58" s="740">
        <f t="shared" ref="BZ58:BZ75" si="239">IF(($C$7-$E58&lt;=$H58),(($I58+$J58)/2*$C$8*AG58),0)</f>
        <v>0</v>
      </c>
      <c r="CA58" s="741">
        <f t="shared" ref="CA58:CA75" si="240">$I58*$K58*L58</f>
        <v>0</v>
      </c>
      <c r="CB58" s="740">
        <f t="shared" ref="CB58:CB75" si="241">$I58*$K58*M58</f>
        <v>0</v>
      </c>
      <c r="CC58" s="740">
        <f t="shared" ref="CC58:CC70" si="242">$I58*$K58*N58</f>
        <v>0</v>
      </c>
      <c r="CD58" s="740">
        <f t="shared" ref="CD58:CD70" si="243">$I58*$K58*O58</f>
        <v>0</v>
      </c>
      <c r="CE58" s="740">
        <f t="shared" si="201"/>
        <v>0</v>
      </c>
      <c r="CF58" s="740">
        <f t="shared" si="201"/>
        <v>0</v>
      </c>
      <c r="CG58" s="740">
        <f t="shared" si="201"/>
        <v>0</v>
      </c>
      <c r="CH58" s="740">
        <f t="shared" si="201"/>
        <v>0</v>
      </c>
      <c r="CI58" s="740">
        <f t="shared" si="201"/>
        <v>0</v>
      </c>
      <c r="CJ58" s="740">
        <f t="shared" ref="CJ58:CJ75" si="244">$I58*$K58*U58</f>
        <v>10.416666666666668</v>
      </c>
      <c r="CK58" s="740">
        <f t="shared" ref="CK58:CK75" si="245">$I58*$K58*V58</f>
        <v>2.083333333333333</v>
      </c>
      <c r="CL58" s="740">
        <f t="shared" ref="CL58:CL75" si="246">$I58*$K58*W58</f>
        <v>8.3333333333333321</v>
      </c>
      <c r="CM58" s="740">
        <f t="shared" ref="CM58:CM75" si="247">$I58*$K58*X58</f>
        <v>2.083333333333333</v>
      </c>
      <c r="CN58" s="740">
        <f t="shared" ref="CN58:CN75" si="248">$I58*$K58*Y58</f>
        <v>0</v>
      </c>
      <c r="CO58" s="740">
        <f t="shared" ref="CO58:CO75" si="249">$I58*$K58*Z58</f>
        <v>2.083333333333333</v>
      </c>
      <c r="CP58" s="740">
        <f t="shared" ref="CP58:CP75" si="250">$I58*$K58*AA58</f>
        <v>0</v>
      </c>
      <c r="CQ58" s="740">
        <f t="shared" ref="CQ58:CQ75" si="251">$I58*$K58*AB58</f>
        <v>0</v>
      </c>
      <c r="CR58" s="740">
        <f t="shared" ref="CR58:CR75" si="252">$I58*$K58*AC58</f>
        <v>0</v>
      </c>
      <c r="CS58" s="740">
        <f t="shared" ref="CS58:CS70" si="253">$I58*$K58*AD58</f>
        <v>0</v>
      </c>
      <c r="CT58" s="740">
        <f t="shared" ref="CT58:CT70" si="254">$I58*$K58*AE58</f>
        <v>0</v>
      </c>
      <c r="CU58" s="740">
        <f t="shared" ref="CU58:CU75" si="255">$I58*$K58*AF58</f>
        <v>0</v>
      </c>
      <c r="CV58" s="740">
        <f t="shared" ref="CV58:CV75" si="256">$I58*$K58*AG58</f>
        <v>0</v>
      </c>
      <c r="CW58" s="741">
        <f t="shared" ref="CW58:CW75" si="257">$I58*$C$9*L58</f>
        <v>0</v>
      </c>
      <c r="CX58" s="740">
        <f t="shared" ref="CX58:CX75" si="258">$I58*$C$9*M58</f>
        <v>0</v>
      </c>
      <c r="CY58" s="740">
        <f t="shared" ref="CY58:CY70" si="259">$I58*$C$9*N58</f>
        <v>0</v>
      </c>
      <c r="CZ58" s="740">
        <f t="shared" ref="CZ58:CZ70" si="260">$I58*$C$9*O58</f>
        <v>0</v>
      </c>
      <c r="DA58" s="740">
        <f t="shared" si="203"/>
        <v>0</v>
      </c>
      <c r="DB58" s="740">
        <f t="shared" si="203"/>
        <v>0</v>
      </c>
      <c r="DC58" s="740">
        <f t="shared" si="203"/>
        <v>0</v>
      </c>
      <c r="DD58" s="740">
        <f t="shared" si="203"/>
        <v>0</v>
      </c>
      <c r="DE58" s="740">
        <f t="shared" si="203"/>
        <v>0</v>
      </c>
      <c r="DF58" s="740">
        <f t="shared" ref="DF58:DF75" si="261">$I58*$C$9*U58</f>
        <v>0.41666666666666669</v>
      </c>
      <c r="DG58" s="740">
        <f t="shared" ref="DG58:DG75" si="262">$I58*$C$9*V58</f>
        <v>8.3333333333333329E-2</v>
      </c>
      <c r="DH58" s="740">
        <f t="shared" ref="DH58:DH75" si="263">$I58*$C$9*W58</f>
        <v>0.33333333333333331</v>
      </c>
      <c r="DI58" s="740">
        <f t="shared" ref="DI58:DI75" si="264">$I58*$C$9*X58</f>
        <v>8.3333333333333329E-2</v>
      </c>
      <c r="DJ58" s="740">
        <f t="shared" ref="DJ58:DJ75" si="265">$I58*$C$9*Y58</f>
        <v>0</v>
      </c>
      <c r="DK58" s="740">
        <f t="shared" ref="DK58:DK75" si="266">$I58*$C$9*Z58</f>
        <v>8.3333333333333329E-2</v>
      </c>
      <c r="DL58" s="740">
        <f t="shared" ref="DL58:DL75" si="267">$I58*$C$9*AA58</f>
        <v>0</v>
      </c>
      <c r="DM58" s="740">
        <f t="shared" ref="DM58:DM75" si="268">$I58*$C$9*AB58</f>
        <v>0</v>
      </c>
      <c r="DN58" s="740">
        <f t="shared" ref="DN58:DN75" si="269">$I58*$C$9*AC58</f>
        <v>0</v>
      </c>
      <c r="DO58" s="740">
        <f t="shared" ref="DO58:DO70" si="270">$I58*$C$9*AD58</f>
        <v>0</v>
      </c>
      <c r="DP58" s="740">
        <f t="shared" ref="DP58:DP70" si="271">$I58*$C$9*AE58</f>
        <v>0</v>
      </c>
      <c r="DQ58" s="740">
        <f t="shared" ref="DQ58:DQ75" si="272">$I58*$C$9*AF58</f>
        <v>0</v>
      </c>
      <c r="DR58" s="742">
        <f t="shared" ref="DR58:DR75" si="273">$I58*$C$9*AG58</f>
        <v>0</v>
      </c>
    </row>
    <row r="59" spans="1:122" s="732" customFormat="1" ht="13.8" thickBot="1" x14ac:dyDescent="0.3">
      <c r="B59" s="730" t="str">
        <f>'Gårdens info'!C107</f>
        <v>Fin-lava</v>
      </c>
      <c r="C59" s="733">
        <f>'Gårdens info'!D107</f>
        <v>8</v>
      </c>
      <c r="D59" s="734" t="s">
        <v>7</v>
      </c>
      <c r="E59" s="733">
        <f>'Gårdens info'!J107</f>
        <v>2010</v>
      </c>
      <c r="F59" s="751">
        <f>'Gårdens info'!G107</f>
        <v>40</v>
      </c>
      <c r="G59" s="752" t="s">
        <v>15</v>
      </c>
      <c r="H59" s="753">
        <v>5</v>
      </c>
      <c r="I59" s="730">
        <f>C59*F59</f>
        <v>320</v>
      </c>
      <c r="J59" s="735">
        <v>0</v>
      </c>
      <c r="K59" s="736">
        <v>0.05</v>
      </c>
      <c r="L59" s="738">
        <f>'Gårdens info'!$D$10/('Gårdens info'!$D$10+'Gårdens info'!$D$11+'Gårdens info'!$D$12+'Gårdens info'!$D$13+'Gårdens info'!$D$22+'Gårdens info'!$D$23+'Gårdens info'!$D$24+'Gårdens info'!$D$25+'Gårdens info'!$D$26+'Gårdens info'!$D$27+'Gårdens info'!$D$28)</f>
        <v>4.1666666666666664E-2</v>
      </c>
      <c r="M59" s="738">
        <f>'Gårdens info'!$D$11/('Gårdens info'!$D$10+'Gårdens info'!$D$11+'Gårdens info'!$D$12+'Gårdens info'!$D$13+'Gårdens info'!$D$22+'Gårdens info'!$D$23+'Gårdens info'!$D$24+'Gårdens info'!$D$25+'Gårdens info'!$D$26+'Gårdens info'!$D$27+'Gårdens info'!$D$28)</f>
        <v>4.1666666666666664E-2</v>
      </c>
      <c r="N59" s="738">
        <f>'Gårdens info'!$D$12/('Gårdens info'!$D$10+'Gårdens info'!$D$11+'Gårdens info'!$D$12+'Gårdens info'!$D$13+'Gårdens info'!$D$22+'Gårdens info'!$D$23+'Gårdens info'!$D$24+'Gårdens info'!$D$25+'Gårdens info'!$D$26+'Gårdens info'!$D$27+'Gårdens info'!$D$28)</f>
        <v>4.1666666666666664E-2</v>
      </c>
      <c r="O59" s="738">
        <f>'Gårdens info'!$D$13/('Gårdens info'!$D$10+'Gårdens info'!$D$11+'Gårdens info'!$D$12+'Gårdens info'!$D$13+'Gårdens info'!$D$22+'Gårdens info'!$D$23+'Gårdens info'!$D$24+'Gårdens info'!$D$25+'Gårdens info'!$D$26+'Gårdens info'!$D$27+'Gårdens info'!$D$28)</f>
        <v>4.1666666666666664E-2</v>
      </c>
      <c r="P59" s="738">
        <f>'Gårdens info'!$D$14/('Gårdens info'!$D$10+'Gårdens info'!$D$11+'Gårdens info'!$D$12+'Gårdens info'!$D$13+'Gårdens info'!$D$22+'Gårdens info'!$D$23+'Gårdens info'!$D$24+'Gårdens info'!$D$25+'Gårdens info'!$D$26+'Gårdens info'!$D$27+'Gårdens info'!$D$28)</f>
        <v>0</v>
      </c>
      <c r="Q59" s="738">
        <f>'Gårdens info'!$D$15/('Gårdens info'!$D$10+'Gårdens info'!$D$11+'Gårdens info'!$D$12+'Gårdens info'!$D$13+'Gårdens info'!$D$22+'Gårdens info'!$D$23+'Gårdens info'!$D$24+'Gårdens info'!$D$25+'Gårdens info'!$D$26+'Gårdens info'!$D$27+'Gårdens info'!$D$28)</f>
        <v>0</v>
      </c>
      <c r="R59" s="738">
        <f>'Gårdens info'!$D$16/('Gårdens info'!$D$10+'Gårdens info'!$D$11+'Gårdens info'!$D$12+'Gårdens info'!$D$13+'Gårdens info'!$D$22+'Gårdens info'!$D$23+'Gårdens info'!$D$24+'Gårdens info'!$D$25+'Gårdens info'!$D$26+'Gårdens info'!$D$27+'Gårdens info'!$D$28)</f>
        <v>0</v>
      </c>
      <c r="S59" s="738">
        <f>'Gårdens info'!$D$17/('Gårdens info'!$D$10+'Gårdens info'!$D$11+'Gårdens info'!$D$12+'Gårdens info'!$D$13+'Gårdens info'!$D$22+'Gårdens info'!$D$23+'Gårdens info'!$D$24+'Gårdens info'!$D$25+'Gårdens info'!$D$26+'Gårdens info'!$D$27+'Gårdens info'!$D$28)</f>
        <v>0</v>
      </c>
      <c r="T59" s="738">
        <f>'Gårdens info'!$D$18/('Gårdens info'!$D$10+'Gårdens info'!$D$11+'Gårdens info'!$D$12+'Gårdens info'!$D$13+'Gårdens info'!$D$22+'Gårdens info'!$D$23+'Gårdens info'!$D$24+'Gårdens info'!$D$25+'Gårdens info'!$D$26+'Gårdens info'!$D$27+'Gårdens info'!$D$28)</f>
        <v>0</v>
      </c>
      <c r="U59" s="738">
        <f>'Gårdens info'!$D$22/('Gårdens info'!$D$10+'Gårdens info'!$D$11+'Gårdens info'!$D$12+'Gårdens info'!$D$13+'Gårdens info'!$D$22+'Gårdens info'!$D$23+'Gårdens info'!$D$24+'Gårdens info'!$D$25+'Gårdens info'!$D$26+'Gårdens info'!$D$27+'Gårdens info'!$D$28)</f>
        <v>0.20833333333333334</v>
      </c>
      <c r="V59" s="738">
        <f>'Gårdens info'!$D$23/('Gårdens info'!$D$10+'Gårdens info'!$D$11+'Gårdens info'!$D$12+'Gårdens info'!$D$13+'Gårdens info'!$D$22+'Gårdens info'!$D$23+'Gårdens info'!$D$24+'Gårdens info'!$D$25+'Gårdens info'!$D$26+'Gårdens info'!$D$27+'Gårdens info'!$D$28)</f>
        <v>4.1666666666666664E-2</v>
      </c>
      <c r="W59" s="738">
        <f>'Gårdens info'!$D$24/('Gårdens info'!$D$10+'Gårdens info'!$D$11+'Gårdens info'!$D$12+'Gårdens info'!$D$13+'Gårdens info'!$D$22+'Gårdens info'!$D$23+'Gårdens info'!$D$24+'Gårdens info'!$D$25+'Gårdens info'!$D$26+'Gårdens info'!$D$27+'Gårdens info'!$D$28)</f>
        <v>0.16666666666666666</v>
      </c>
      <c r="X59" s="738">
        <f>'Gårdens info'!$D$25/('Gårdens info'!$D$10+'Gårdens info'!$D$11+'Gårdens info'!$D$12+'Gårdens info'!$D$13+'Gårdens info'!$D$22+'Gårdens info'!$D$23+'Gårdens info'!$D$24+'Gårdens info'!$D$25+'Gårdens info'!$D$26+'Gårdens info'!$D$27+'Gårdens info'!$D$28)</f>
        <v>4.1666666666666664E-2</v>
      </c>
      <c r="Y59" s="738">
        <f>'Gårdens info'!$D$26/('Gårdens info'!$D$10+'Gårdens info'!$D$11+'Gårdens info'!$D$12+'Gårdens info'!$D$13+'Gårdens info'!$D$22+'Gårdens info'!$D$23+'Gårdens info'!$D$24+'Gårdens info'!$D$25+'Gårdens info'!$D$26+'Gårdens info'!$D$27+'Gårdens info'!$D$28)</f>
        <v>0.20833333333333334</v>
      </c>
      <c r="Z59" s="738">
        <f>'Gårdens info'!$D$27/('Gårdens info'!$D$10+'Gårdens info'!$D$11+'Gårdens info'!$D$12+'Gårdens info'!$D$13+'Gårdens info'!$D$22+'Gårdens info'!$D$23+'Gårdens info'!$D$24+'Gårdens info'!$D$25+'Gårdens info'!$D$26+'Gårdens info'!$D$27+'Gårdens info'!$D$28)</f>
        <v>4.1666666666666664E-2</v>
      </c>
      <c r="AA59" s="738">
        <f>'Gårdens info'!$D$28/('Gårdens info'!$D$10+'Gårdens info'!$D$11+'Gårdens info'!$D$12+'Gårdens info'!$D$13+'Gårdens info'!$D$22+'Gårdens info'!$D$23+'Gårdens info'!$D$24+'Gårdens info'!$D$25+'Gårdens info'!$D$26+'Gårdens info'!$D$27+'Gårdens info'!$D$28)</f>
        <v>0.125</v>
      </c>
      <c r="AB59" s="738">
        <v>0</v>
      </c>
      <c r="AC59" s="738">
        <v>0</v>
      </c>
      <c r="AD59" s="738">
        <v>0</v>
      </c>
      <c r="AE59" s="738">
        <v>0</v>
      </c>
      <c r="AF59" s="738">
        <v>0</v>
      </c>
      <c r="AG59" s="738">
        <v>0</v>
      </c>
      <c r="AH59" s="743">
        <f t="shared" si="205"/>
        <v>1</v>
      </c>
      <c r="AI59" s="741">
        <f t="shared" si="206"/>
        <v>0</v>
      </c>
      <c r="AJ59" s="740">
        <f t="shared" si="207"/>
        <v>0</v>
      </c>
      <c r="AK59" s="740">
        <f t="shared" si="208"/>
        <v>0</v>
      </c>
      <c r="AL59" s="740">
        <f t="shared" si="209"/>
        <v>0</v>
      </c>
      <c r="AM59" s="740">
        <f t="shared" si="197"/>
        <v>0</v>
      </c>
      <c r="AN59" s="740">
        <f t="shared" si="197"/>
        <v>0</v>
      </c>
      <c r="AO59" s="740">
        <f t="shared" si="197"/>
        <v>0</v>
      </c>
      <c r="AP59" s="740">
        <f t="shared" si="197"/>
        <v>0</v>
      </c>
      <c r="AQ59" s="740">
        <f t="shared" si="197"/>
        <v>0</v>
      </c>
      <c r="AR59" s="740">
        <f t="shared" si="210"/>
        <v>0</v>
      </c>
      <c r="AS59" s="740">
        <f t="shared" si="211"/>
        <v>0</v>
      </c>
      <c r="AT59" s="740">
        <f t="shared" si="212"/>
        <v>0</v>
      </c>
      <c r="AU59" s="740">
        <f t="shared" si="213"/>
        <v>0</v>
      </c>
      <c r="AV59" s="740">
        <f t="shared" si="214"/>
        <v>0</v>
      </c>
      <c r="AW59" s="740">
        <f t="shared" si="215"/>
        <v>0</v>
      </c>
      <c r="AX59" s="740">
        <f t="shared" si="216"/>
        <v>0</v>
      </c>
      <c r="AY59" s="740">
        <f t="shared" si="217"/>
        <v>0</v>
      </c>
      <c r="AZ59" s="740">
        <f t="shared" si="218"/>
        <v>0</v>
      </c>
      <c r="BA59" s="740">
        <f t="shared" si="219"/>
        <v>0</v>
      </c>
      <c r="BB59" s="740">
        <f t="shared" si="220"/>
        <v>0</v>
      </c>
      <c r="BC59" s="740">
        <f t="shared" si="221"/>
        <v>0</v>
      </c>
      <c r="BD59" s="740">
        <f t="shared" si="222"/>
        <v>0</v>
      </c>
      <c r="BE59" s="741">
        <f t="shared" si="223"/>
        <v>0</v>
      </c>
      <c r="BF59" s="740">
        <f t="shared" si="224"/>
        <v>0</v>
      </c>
      <c r="BG59" s="740">
        <f t="shared" si="225"/>
        <v>0</v>
      </c>
      <c r="BH59" s="740">
        <f t="shared" si="226"/>
        <v>0</v>
      </c>
      <c r="BI59" s="740">
        <f t="shared" si="199"/>
        <v>0</v>
      </c>
      <c r="BJ59" s="740">
        <f t="shared" si="199"/>
        <v>0</v>
      </c>
      <c r="BK59" s="740">
        <f t="shared" si="199"/>
        <v>0</v>
      </c>
      <c r="BL59" s="740">
        <f t="shared" si="199"/>
        <v>0</v>
      </c>
      <c r="BM59" s="740">
        <f t="shared" si="199"/>
        <v>0</v>
      </c>
      <c r="BN59" s="740">
        <f t="shared" si="227"/>
        <v>0</v>
      </c>
      <c r="BO59" s="740">
        <f t="shared" si="228"/>
        <v>0</v>
      </c>
      <c r="BP59" s="740">
        <f t="shared" si="229"/>
        <v>0</v>
      </c>
      <c r="BQ59" s="740">
        <f t="shared" si="230"/>
        <v>0</v>
      </c>
      <c r="BR59" s="740">
        <f t="shared" si="231"/>
        <v>0</v>
      </c>
      <c r="BS59" s="740">
        <f t="shared" si="232"/>
        <v>0</v>
      </c>
      <c r="BT59" s="740">
        <f t="shared" si="233"/>
        <v>0</v>
      </c>
      <c r="BU59" s="740">
        <f t="shared" si="234"/>
        <v>0</v>
      </c>
      <c r="BV59" s="740">
        <f t="shared" si="235"/>
        <v>0</v>
      </c>
      <c r="BW59" s="740">
        <f t="shared" si="236"/>
        <v>0</v>
      </c>
      <c r="BX59" s="740">
        <f t="shared" si="237"/>
        <v>0</v>
      </c>
      <c r="BY59" s="740">
        <f t="shared" si="238"/>
        <v>0</v>
      </c>
      <c r="BZ59" s="740">
        <f t="shared" si="239"/>
        <v>0</v>
      </c>
      <c r="CA59" s="741">
        <f t="shared" si="240"/>
        <v>0.66666666666666663</v>
      </c>
      <c r="CB59" s="740">
        <f t="shared" si="241"/>
        <v>0.66666666666666663</v>
      </c>
      <c r="CC59" s="740">
        <f t="shared" si="242"/>
        <v>0.66666666666666663</v>
      </c>
      <c r="CD59" s="740">
        <f t="shared" si="243"/>
        <v>0.66666666666666663</v>
      </c>
      <c r="CE59" s="740">
        <f t="shared" si="201"/>
        <v>0</v>
      </c>
      <c r="CF59" s="740">
        <f t="shared" si="201"/>
        <v>0</v>
      </c>
      <c r="CG59" s="740">
        <f t="shared" si="201"/>
        <v>0</v>
      </c>
      <c r="CH59" s="740">
        <f t="shared" si="201"/>
        <v>0</v>
      </c>
      <c r="CI59" s="740">
        <f t="shared" si="201"/>
        <v>0</v>
      </c>
      <c r="CJ59" s="740">
        <f t="shared" si="244"/>
        <v>3.3333333333333335</v>
      </c>
      <c r="CK59" s="740">
        <f t="shared" si="245"/>
        <v>0.66666666666666663</v>
      </c>
      <c r="CL59" s="740">
        <f t="shared" si="246"/>
        <v>2.6666666666666665</v>
      </c>
      <c r="CM59" s="740">
        <f t="shared" si="247"/>
        <v>0.66666666666666663</v>
      </c>
      <c r="CN59" s="740">
        <f t="shared" si="248"/>
        <v>3.3333333333333335</v>
      </c>
      <c r="CO59" s="740">
        <f t="shared" si="249"/>
        <v>0.66666666666666663</v>
      </c>
      <c r="CP59" s="740">
        <f t="shared" si="250"/>
        <v>2</v>
      </c>
      <c r="CQ59" s="740">
        <f t="shared" si="251"/>
        <v>0</v>
      </c>
      <c r="CR59" s="740">
        <f t="shared" si="252"/>
        <v>0</v>
      </c>
      <c r="CS59" s="740">
        <f t="shared" si="253"/>
        <v>0</v>
      </c>
      <c r="CT59" s="740">
        <f t="shared" si="254"/>
        <v>0</v>
      </c>
      <c r="CU59" s="740">
        <f t="shared" si="255"/>
        <v>0</v>
      </c>
      <c r="CV59" s="740">
        <f t="shared" si="256"/>
        <v>0</v>
      </c>
      <c r="CW59" s="741">
        <f t="shared" si="257"/>
        <v>2.6666666666666665E-2</v>
      </c>
      <c r="CX59" s="740">
        <f t="shared" si="258"/>
        <v>2.6666666666666665E-2</v>
      </c>
      <c r="CY59" s="740">
        <f t="shared" si="259"/>
        <v>2.6666666666666665E-2</v>
      </c>
      <c r="CZ59" s="740">
        <f t="shared" si="260"/>
        <v>2.6666666666666665E-2</v>
      </c>
      <c r="DA59" s="740">
        <f t="shared" si="203"/>
        <v>0</v>
      </c>
      <c r="DB59" s="740">
        <f t="shared" si="203"/>
        <v>0</v>
      </c>
      <c r="DC59" s="740">
        <f t="shared" si="203"/>
        <v>0</v>
      </c>
      <c r="DD59" s="740">
        <f t="shared" si="203"/>
        <v>0</v>
      </c>
      <c r="DE59" s="740">
        <f t="shared" si="203"/>
        <v>0</v>
      </c>
      <c r="DF59" s="740">
        <f t="shared" si="261"/>
        <v>0.13333333333333333</v>
      </c>
      <c r="DG59" s="740">
        <f t="shared" si="262"/>
        <v>2.6666666666666665E-2</v>
      </c>
      <c r="DH59" s="740">
        <f t="shared" si="263"/>
        <v>0.10666666666666666</v>
      </c>
      <c r="DI59" s="740">
        <f t="shared" si="264"/>
        <v>2.6666666666666665E-2</v>
      </c>
      <c r="DJ59" s="740">
        <f t="shared" si="265"/>
        <v>0.13333333333333333</v>
      </c>
      <c r="DK59" s="740">
        <f t="shared" si="266"/>
        <v>2.6666666666666665E-2</v>
      </c>
      <c r="DL59" s="740">
        <f t="shared" si="267"/>
        <v>0.08</v>
      </c>
      <c r="DM59" s="740">
        <f t="shared" si="268"/>
        <v>0</v>
      </c>
      <c r="DN59" s="740">
        <f t="shared" si="269"/>
        <v>0</v>
      </c>
      <c r="DO59" s="740">
        <f t="shared" si="270"/>
        <v>0</v>
      </c>
      <c r="DP59" s="740">
        <f t="shared" si="271"/>
        <v>0</v>
      </c>
      <c r="DQ59" s="740">
        <f t="shared" si="272"/>
        <v>0</v>
      </c>
      <c r="DR59" s="742">
        <f t="shared" si="273"/>
        <v>0</v>
      </c>
    </row>
    <row r="60" spans="1:122" s="732" customFormat="1" ht="13.8" thickBot="1" x14ac:dyDescent="0.3">
      <c r="B60" s="730" t="str">
        <f>'Gårdens info'!C108</f>
        <v>Våg</v>
      </c>
      <c r="C60" s="733">
        <f>'Gårdens info'!D108</f>
        <v>200</v>
      </c>
      <c r="D60" s="734" t="s">
        <v>7</v>
      </c>
      <c r="E60" s="733">
        <f>'Gårdens info'!J108</f>
        <v>2010</v>
      </c>
      <c r="F60" s="751">
        <f>'Gårdens info'!G108</f>
        <v>4</v>
      </c>
      <c r="G60" s="752" t="s">
        <v>15</v>
      </c>
      <c r="H60" s="753">
        <v>10</v>
      </c>
      <c r="I60" s="730">
        <f>C60*F60</f>
        <v>800</v>
      </c>
      <c r="J60" s="735">
        <v>0</v>
      </c>
      <c r="K60" s="736">
        <v>0.05</v>
      </c>
      <c r="L60" s="738">
        <f>'Gårdens info'!$D$10/('Gårdens info'!$D$10+'Gårdens info'!$D$11+'Gårdens info'!$D$12+'Gårdens info'!$D$13+'Gårdens info'!$D$22+'Gårdens info'!$D$23+'Gårdens info'!$D$24+'Gårdens info'!$D$25+'Gårdens info'!$D$26+'Gårdens info'!$D$27+'Gårdens info'!$D$28)</f>
        <v>4.1666666666666664E-2</v>
      </c>
      <c r="M60" s="738">
        <f>'Gårdens info'!$D$11/('Gårdens info'!$D$10+'Gårdens info'!$D$11+'Gårdens info'!$D$12+'Gårdens info'!$D$13+'Gårdens info'!$D$22+'Gårdens info'!$D$23+'Gårdens info'!$D$24+'Gårdens info'!$D$25+'Gårdens info'!$D$26+'Gårdens info'!$D$27+'Gårdens info'!$D$28)</f>
        <v>4.1666666666666664E-2</v>
      </c>
      <c r="N60" s="738">
        <f>'Gårdens info'!$D$12/('Gårdens info'!$D$10+'Gårdens info'!$D$11+'Gårdens info'!$D$12+'Gårdens info'!$D$13+'Gårdens info'!$D$22+'Gårdens info'!$D$23+'Gårdens info'!$D$24+'Gårdens info'!$D$25+'Gårdens info'!$D$26+'Gårdens info'!$D$27+'Gårdens info'!$D$28)</f>
        <v>4.1666666666666664E-2</v>
      </c>
      <c r="O60" s="738">
        <f>'Gårdens info'!$D$13/('Gårdens info'!$D$10+'Gårdens info'!$D$11+'Gårdens info'!$D$12+'Gårdens info'!$D$13+'Gårdens info'!$D$22+'Gårdens info'!$D$23+'Gårdens info'!$D$24+'Gårdens info'!$D$25+'Gårdens info'!$D$26+'Gårdens info'!$D$27+'Gårdens info'!$D$28)</f>
        <v>4.1666666666666664E-2</v>
      </c>
      <c r="P60" s="738">
        <f>'Gårdens info'!$D$14/('Gårdens info'!$D$10+'Gårdens info'!$D$11+'Gårdens info'!$D$12+'Gårdens info'!$D$13+'Gårdens info'!$D$22+'Gårdens info'!$D$23+'Gårdens info'!$D$24+'Gårdens info'!$D$25+'Gårdens info'!$D$26+'Gårdens info'!$D$27+'Gårdens info'!$D$28)</f>
        <v>0</v>
      </c>
      <c r="Q60" s="738">
        <f>'Gårdens info'!$D$15/('Gårdens info'!$D$10+'Gårdens info'!$D$11+'Gårdens info'!$D$12+'Gårdens info'!$D$13+'Gårdens info'!$D$22+'Gårdens info'!$D$23+'Gårdens info'!$D$24+'Gårdens info'!$D$25+'Gårdens info'!$D$26+'Gårdens info'!$D$27+'Gårdens info'!$D$28)</f>
        <v>0</v>
      </c>
      <c r="R60" s="738">
        <f>'Gårdens info'!$D$16/('Gårdens info'!$D$10+'Gårdens info'!$D$11+'Gårdens info'!$D$12+'Gårdens info'!$D$13+'Gårdens info'!$D$22+'Gårdens info'!$D$23+'Gårdens info'!$D$24+'Gårdens info'!$D$25+'Gårdens info'!$D$26+'Gårdens info'!$D$27+'Gårdens info'!$D$28)</f>
        <v>0</v>
      </c>
      <c r="S60" s="738">
        <f>'Gårdens info'!$D$17/('Gårdens info'!$D$10+'Gårdens info'!$D$11+'Gårdens info'!$D$12+'Gårdens info'!$D$13+'Gårdens info'!$D$22+'Gårdens info'!$D$23+'Gårdens info'!$D$24+'Gårdens info'!$D$25+'Gårdens info'!$D$26+'Gårdens info'!$D$27+'Gårdens info'!$D$28)</f>
        <v>0</v>
      </c>
      <c r="T60" s="738">
        <f>'Gårdens info'!$D$18/('Gårdens info'!$D$10+'Gårdens info'!$D$11+'Gårdens info'!$D$12+'Gårdens info'!$D$13+'Gårdens info'!$D$22+'Gårdens info'!$D$23+'Gårdens info'!$D$24+'Gårdens info'!$D$25+'Gårdens info'!$D$26+'Gårdens info'!$D$27+'Gårdens info'!$D$28)</f>
        <v>0</v>
      </c>
      <c r="U60" s="738">
        <f>'Gårdens info'!$D$22/('Gårdens info'!$D$10+'Gårdens info'!$D$11+'Gårdens info'!$D$12+'Gårdens info'!$D$13+'Gårdens info'!$D$22+'Gårdens info'!$D$23+'Gårdens info'!$D$24+'Gårdens info'!$D$25+'Gårdens info'!$D$26+'Gårdens info'!$D$27+'Gårdens info'!$D$28)</f>
        <v>0.20833333333333334</v>
      </c>
      <c r="V60" s="738">
        <f>'Gårdens info'!$D$23/('Gårdens info'!$D$10+'Gårdens info'!$D$11+'Gårdens info'!$D$12+'Gårdens info'!$D$13+'Gårdens info'!$D$22+'Gårdens info'!$D$23+'Gårdens info'!$D$24+'Gårdens info'!$D$25+'Gårdens info'!$D$26+'Gårdens info'!$D$27+'Gårdens info'!$D$28)</f>
        <v>4.1666666666666664E-2</v>
      </c>
      <c r="W60" s="738">
        <f>'Gårdens info'!$D$24/('Gårdens info'!$D$10+'Gårdens info'!$D$11+'Gårdens info'!$D$12+'Gårdens info'!$D$13+'Gårdens info'!$D$22+'Gårdens info'!$D$23+'Gårdens info'!$D$24+'Gårdens info'!$D$25+'Gårdens info'!$D$26+'Gårdens info'!$D$27+'Gårdens info'!$D$28)</f>
        <v>0.16666666666666666</v>
      </c>
      <c r="X60" s="738">
        <f>'Gårdens info'!$D$25/('Gårdens info'!$D$10+'Gårdens info'!$D$11+'Gårdens info'!$D$12+'Gårdens info'!$D$13+'Gårdens info'!$D$22+'Gårdens info'!$D$23+'Gårdens info'!$D$24+'Gårdens info'!$D$25+'Gårdens info'!$D$26+'Gårdens info'!$D$27+'Gårdens info'!$D$28)</f>
        <v>4.1666666666666664E-2</v>
      </c>
      <c r="Y60" s="738">
        <f>'Gårdens info'!$D$26/('Gårdens info'!$D$10+'Gårdens info'!$D$11+'Gårdens info'!$D$12+'Gårdens info'!$D$13+'Gårdens info'!$D$22+'Gårdens info'!$D$23+'Gårdens info'!$D$24+'Gårdens info'!$D$25+'Gårdens info'!$D$26+'Gårdens info'!$D$27+'Gårdens info'!$D$28)</f>
        <v>0.20833333333333334</v>
      </c>
      <c r="Z60" s="738">
        <f>'Gårdens info'!$D$27/('Gårdens info'!$D$10+'Gårdens info'!$D$11+'Gårdens info'!$D$12+'Gårdens info'!$D$13+'Gårdens info'!$D$22+'Gårdens info'!$D$23+'Gårdens info'!$D$24+'Gårdens info'!$D$25+'Gårdens info'!$D$26+'Gårdens info'!$D$27+'Gårdens info'!$D$28)</f>
        <v>4.1666666666666664E-2</v>
      </c>
      <c r="AA60" s="738">
        <f>'Gårdens info'!$D$28/('Gårdens info'!$D$10+'Gårdens info'!$D$11+'Gårdens info'!$D$12+'Gårdens info'!$D$13+'Gårdens info'!$D$22+'Gårdens info'!$D$23+'Gårdens info'!$D$24+'Gårdens info'!$D$25+'Gårdens info'!$D$26+'Gårdens info'!$D$27+'Gårdens info'!$D$28)</f>
        <v>0.125</v>
      </c>
      <c r="AB60" s="738">
        <v>0</v>
      </c>
      <c r="AC60" s="738">
        <v>0</v>
      </c>
      <c r="AD60" s="738">
        <v>0</v>
      </c>
      <c r="AE60" s="738">
        <v>0</v>
      </c>
      <c r="AF60" s="738">
        <v>0</v>
      </c>
      <c r="AG60" s="738">
        <v>0</v>
      </c>
      <c r="AH60" s="743">
        <f t="shared" si="205"/>
        <v>1</v>
      </c>
      <c r="AI60" s="741">
        <f t="shared" si="206"/>
        <v>0</v>
      </c>
      <c r="AJ60" s="740">
        <f t="shared" si="207"/>
        <v>0</v>
      </c>
      <c r="AK60" s="740">
        <f t="shared" si="208"/>
        <v>0</v>
      </c>
      <c r="AL60" s="740">
        <f t="shared" si="209"/>
        <v>0</v>
      </c>
      <c r="AM60" s="740">
        <f t="shared" si="197"/>
        <v>0</v>
      </c>
      <c r="AN60" s="740">
        <f t="shared" si="197"/>
        <v>0</v>
      </c>
      <c r="AO60" s="740">
        <f t="shared" si="197"/>
        <v>0</v>
      </c>
      <c r="AP60" s="740">
        <f t="shared" si="197"/>
        <v>0</v>
      </c>
      <c r="AQ60" s="740">
        <f t="shared" si="197"/>
        <v>0</v>
      </c>
      <c r="AR60" s="740">
        <f t="shared" si="210"/>
        <v>0</v>
      </c>
      <c r="AS60" s="740">
        <f t="shared" si="211"/>
        <v>0</v>
      </c>
      <c r="AT60" s="740">
        <f t="shared" si="212"/>
        <v>0</v>
      </c>
      <c r="AU60" s="740">
        <f t="shared" si="213"/>
        <v>0</v>
      </c>
      <c r="AV60" s="740">
        <f t="shared" si="214"/>
        <v>0</v>
      </c>
      <c r="AW60" s="740">
        <f t="shared" si="215"/>
        <v>0</v>
      </c>
      <c r="AX60" s="740">
        <f t="shared" si="216"/>
        <v>0</v>
      </c>
      <c r="AY60" s="740">
        <f t="shared" si="217"/>
        <v>0</v>
      </c>
      <c r="AZ60" s="740">
        <f t="shared" si="218"/>
        <v>0</v>
      </c>
      <c r="BA60" s="740">
        <f t="shared" si="219"/>
        <v>0</v>
      </c>
      <c r="BB60" s="740">
        <f t="shared" si="220"/>
        <v>0</v>
      </c>
      <c r="BC60" s="740">
        <f t="shared" si="221"/>
        <v>0</v>
      </c>
      <c r="BD60" s="740">
        <f t="shared" si="222"/>
        <v>0</v>
      </c>
      <c r="BE60" s="741">
        <f t="shared" si="223"/>
        <v>0</v>
      </c>
      <c r="BF60" s="740">
        <f t="shared" si="224"/>
        <v>0</v>
      </c>
      <c r="BG60" s="740">
        <f t="shared" si="225"/>
        <v>0</v>
      </c>
      <c r="BH60" s="740">
        <f t="shared" si="226"/>
        <v>0</v>
      </c>
      <c r="BI60" s="740">
        <f t="shared" si="199"/>
        <v>0</v>
      </c>
      <c r="BJ60" s="740">
        <f t="shared" si="199"/>
        <v>0</v>
      </c>
      <c r="BK60" s="740">
        <f t="shared" si="199"/>
        <v>0</v>
      </c>
      <c r="BL60" s="740">
        <f t="shared" si="199"/>
        <v>0</v>
      </c>
      <c r="BM60" s="740">
        <f t="shared" si="199"/>
        <v>0</v>
      </c>
      <c r="BN60" s="740">
        <f t="shared" si="227"/>
        <v>0</v>
      </c>
      <c r="BO60" s="740">
        <f t="shared" si="228"/>
        <v>0</v>
      </c>
      <c r="BP60" s="740">
        <f t="shared" si="229"/>
        <v>0</v>
      </c>
      <c r="BQ60" s="740">
        <f t="shared" si="230"/>
        <v>0</v>
      </c>
      <c r="BR60" s="740">
        <f t="shared" si="231"/>
        <v>0</v>
      </c>
      <c r="BS60" s="740">
        <f t="shared" si="232"/>
        <v>0</v>
      </c>
      <c r="BT60" s="740">
        <f t="shared" si="233"/>
        <v>0</v>
      </c>
      <c r="BU60" s="740">
        <f t="shared" si="234"/>
        <v>0</v>
      </c>
      <c r="BV60" s="740">
        <f t="shared" si="235"/>
        <v>0</v>
      </c>
      <c r="BW60" s="740">
        <f t="shared" si="236"/>
        <v>0</v>
      </c>
      <c r="BX60" s="740">
        <f t="shared" si="237"/>
        <v>0</v>
      </c>
      <c r="BY60" s="740">
        <f t="shared" si="238"/>
        <v>0</v>
      </c>
      <c r="BZ60" s="740">
        <f t="shared" si="239"/>
        <v>0</v>
      </c>
      <c r="CA60" s="741">
        <f t="shared" si="240"/>
        <v>1.6666666666666665</v>
      </c>
      <c r="CB60" s="740">
        <f t="shared" si="241"/>
        <v>1.6666666666666665</v>
      </c>
      <c r="CC60" s="740">
        <f t="shared" si="242"/>
        <v>1.6666666666666665</v>
      </c>
      <c r="CD60" s="740">
        <f t="shared" si="243"/>
        <v>1.6666666666666665</v>
      </c>
      <c r="CE60" s="740">
        <f t="shared" si="201"/>
        <v>0</v>
      </c>
      <c r="CF60" s="740">
        <f t="shared" si="201"/>
        <v>0</v>
      </c>
      <c r="CG60" s="740">
        <f t="shared" si="201"/>
        <v>0</v>
      </c>
      <c r="CH60" s="740">
        <f t="shared" si="201"/>
        <v>0</v>
      </c>
      <c r="CI60" s="740">
        <f t="shared" si="201"/>
        <v>0</v>
      </c>
      <c r="CJ60" s="740">
        <f t="shared" si="244"/>
        <v>8.3333333333333339</v>
      </c>
      <c r="CK60" s="740">
        <f t="shared" si="245"/>
        <v>1.6666666666666665</v>
      </c>
      <c r="CL60" s="740">
        <f t="shared" si="246"/>
        <v>6.6666666666666661</v>
      </c>
      <c r="CM60" s="740">
        <f t="shared" si="247"/>
        <v>1.6666666666666665</v>
      </c>
      <c r="CN60" s="740">
        <f t="shared" si="248"/>
        <v>8.3333333333333339</v>
      </c>
      <c r="CO60" s="740">
        <f t="shared" si="249"/>
        <v>1.6666666666666665</v>
      </c>
      <c r="CP60" s="740">
        <f t="shared" si="250"/>
        <v>5</v>
      </c>
      <c r="CQ60" s="740">
        <f t="shared" si="251"/>
        <v>0</v>
      </c>
      <c r="CR60" s="740">
        <f t="shared" si="252"/>
        <v>0</v>
      </c>
      <c r="CS60" s="740">
        <f t="shared" si="253"/>
        <v>0</v>
      </c>
      <c r="CT60" s="740">
        <f t="shared" si="254"/>
        <v>0</v>
      </c>
      <c r="CU60" s="740">
        <f t="shared" si="255"/>
        <v>0</v>
      </c>
      <c r="CV60" s="740">
        <f t="shared" si="256"/>
        <v>0</v>
      </c>
      <c r="CW60" s="741">
        <f t="shared" si="257"/>
        <v>6.6666666666666666E-2</v>
      </c>
      <c r="CX60" s="740">
        <f t="shared" si="258"/>
        <v>6.6666666666666666E-2</v>
      </c>
      <c r="CY60" s="740">
        <f t="shared" si="259"/>
        <v>6.6666666666666666E-2</v>
      </c>
      <c r="CZ60" s="740">
        <f t="shared" si="260"/>
        <v>6.6666666666666666E-2</v>
      </c>
      <c r="DA60" s="740">
        <f t="shared" si="203"/>
        <v>0</v>
      </c>
      <c r="DB60" s="740">
        <f t="shared" si="203"/>
        <v>0</v>
      </c>
      <c r="DC60" s="740">
        <f t="shared" si="203"/>
        <v>0</v>
      </c>
      <c r="DD60" s="740">
        <f t="shared" si="203"/>
        <v>0</v>
      </c>
      <c r="DE60" s="740">
        <f t="shared" si="203"/>
        <v>0</v>
      </c>
      <c r="DF60" s="740">
        <f t="shared" si="261"/>
        <v>0.33333333333333337</v>
      </c>
      <c r="DG60" s="740">
        <f t="shared" si="262"/>
        <v>6.6666666666666666E-2</v>
      </c>
      <c r="DH60" s="740">
        <f t="shared" si="263"/>
        <v>0.26666666666666666</v>
      </c>
      <c r="DI60" s="740">
        <f t="shared" si="264"/>
        <v>6.6666666666666666E-2</v>
      </c>
      <c r="DJ60" s="740">
        <f t="shared" si="265"/>
        <v>0.33333333333333337</v>
      </c>
      <c r="DK60" s="740">
        <f t="shared" si="266"/>
        <v>6.6666666666666666E-2</v>
      </c>
      <c r="DL60" s="740">
        <f t="shared" si="267"/>
        <v>0.2</v>
      </c>
      <c r="DM60" s="740">
        <f t="shared" si="268"/>
        <v>0</v>
      </c>
      <c r="DN60" s="740">
        <f t="shared" si="269"/>
        <v>0</v>
      </c>
      <c r="DO60" s="740">
        <f t="shared" si="270"/>
        <v>0</v>
      </c>
      <c r="DP60" s="740">
        <f t="shared" si="271"/>
        <v>0</v>
      </c>
      <c r="DQ60" s="740">
        <f t="shared" si="272"/>
        <v>0</v>
      </c>
      <c r="DR60" s="742">
        <f t="shared" si="273"/>
        <v>0</v>
      </c>
    </row>
    <row r="61" spans="1:122" s="732" customFormat="1" ht="13.8" thickBot="1" x14ac:dyDescent="0.3">
      <c r="B61" s="730" t="str">
        <f>'Gårdens info'!C109</f>
        <v>Forstbekämpningsutrustning</v>
      </c>
      <c r="C61" s="733">
        <f>'Gårdens info'!D109</f>
        <v>5000</v>
      </c>
      <c r="D61" s="734" t="s">
        <v>7</v>
      </c>
      <c r="E61" s="733">
        <f>'Gårdens info'!J109</f>
        <v>2010</v>
      </c>
      <c r="F61" s="751">
        <f>'Gårdens info'!G109</f>
        <v>1</v>
      </c>
      <c r="G61" s="752" t="s">
        <v>15</v>
      </c>
      <c r="H61" s="753">
        <v>10</v>
      </c>
      <c r="I61" s="730">
        <f>C61*F61</f>
        <v>5000</v>
      </c>
      <c r="J61" s="735">
        <v>0</v>
      </c>
      <c r="K61" s="736">
        <v>0.05</v>
      </c>
      <c r="L61" s="738">
        <f>'Gårdens info'!$D$10/('Gårdens info'!$D$10+'Gårdens info'!$D$11+'Gårdens info'!$D$12+'Gårdens info'!$D$13+'Gårdens info'!$D$22+'Gårdens info'!$D$23+'Gårdens info'!$D$24+'Gårdens info'!$D$25+'Gårdens info'!$D$26+'Gårdens info'!$D$27+'Gårdens info'!$D$28)</f>
        <v>4.1666666666666664E-2</v>
      </c>
      <c r="M61" s="738">
        <f>'Gårdens info'!$D$11/('Gårdens info'!$D$10+'Gårdens info'!$D$11+'Gårdens info'!$D$12+'Gårdens info'!$D$13+'Gårdens info'!$D$22+'Gårdens info'!$D$23+'Gårdens info'!$D$24+'Gårdens info'!$D$25+'Gårdens info'!$D$26+'Gårdens info'!$D$27+'Gårdens info'!$D$28)</f>
        <v>4.1666666666666664E-2</v>
      </c>
      <c r="N61" s="738">
        <f>'Gårdens info'!$D$12/('Gårdens info'!$D$10+'Gårdens info'!$D$11+'Gårdens info'!$D$12+'Gårdens info'!$D$13+'Gårdens info'!$D$22+'Gårdens info'!$D$23+'Gårdens info'!$D$24+'Gårdens info'!$D$25+'Gårdens info'!$D$26+'Gårdens info'!$D$27+'Gårdens info'!$D$28)</f>
        <v>4.1666666666666664E-2</v>
      </c>
      <c r="O61" s="738">
        <f>'Gårdens info'!$D$13/('Gårdens info'!$D$10+'Gårdens info'!$D$11+'Gårdens info'!$D$12+'Gårdens info'!$D$13+'Gårdens info'!$D$22+'Gårdens info'!$D$23+'Gårdens info'!$D$24+'Gårdens info'!$D$25+'Gårdens info'!$D$26+'Gårdens info'!$D$27+'Gårdens info'!$D$28)</f>
        <v>4.1666666666666664E-2</v>
      </c>
      <c r="P61" s="738">
        <f>'Gårdens info'!$D$14/('Gårdens info'!$D$10+'Gårdens info'!$D$11+'Gårdens info'!$D$12+'Gårdens info'!$D$13+'Gårdens info'!$D$22+'Gårdens info'!$D$23+'Gårdens info'!$D$24+'Gårdens info'!$D$25+'Gårdens info'!$D$26+'Gårdens info'!$D$27+'Gårdens info'!$D$28)</f>
        <v>0</v>
      </c>
      <c r="Q61" s="738">
        <f>'Gårdens info'!$D$15/('Gårdens info'!$D$10+'Gårdens info'!$D$11+'Gårdens info'!$D$12+'Gårdens info'!$D$13+'Gårdens info'!$D$22+'Gårdens info'!$D$23+'Gårdens info'!$D$24+'Gårdens info'!$D$25+'Gårdens info'!$D$26+'Gårdens info'!$D$27+'Gårdens info'!$D$28)</f>
        <v>0</v>
      </c>
      <c r="R61" s="738">
        <f>'Gårdens info'!$D$16/('Gårdens info'!$D$10+'Gårdens info'!$D$11+'Gårdens info'!$D$12+'Gårdens info'!$D$13+'Gårdens info'!$D$22+'Gårdens info'!$D$23+'Gårdens info'!$D$24+'Gårdens info'!$D$25+'Gårdens info'!$D$26+'Gårdens info'!$D$27+'Gårdens info'!$D$28)</f>
        <v>0</v>
      </c>
      <c r="S61" s="738">
        <f>'Gårdens info'!$D$17/('Gårdens info'!$D$10+'Gårdens info'!$D$11+'Gårdens info'!$D$12+'Gårdens info'!$D$13+'Gårdens info'!$D$22+'Gårdens info'!$D$23+'Gårdens info'!$D$24+'Gårdens info'!$D$25+'Gårdens info'!$D$26+'Gårdens info'!$D$27+'Gårdens info'!$D$28)</f>
        <v>0</v>
      </c>
      <c r="T61" s="738">
        <f>'Gårdens info'!$D$18/('Gårdens info'!$D$10+'Gårdens info'!$D$11+'Gårdens info'!$D$12+'Gårdens info'!$D$13+'Gårdens info'!$D$22+'Gårdens info'!$D$23+'Gårdens info'!$D$24+'Gårdens info'!$D$25+'Gårdens info'!$D$26+'Gårdens info'!$D$27+'Gårdens info'!$D$28)</f>
        <v>0</v>
      </c>
      <c r="U61" s="738">
        <f>'Gårdens info'!$D$22/('Gårdens info'!$D$10+'Gårdens info'!$D$11+'Gårdens info'!$D$12+'Gårdens info'!$D$13+'Gårdens info'!$D$22+'Gårdens info'!$D$23+'Gårdens info'!$D$24+'Gårdens info'!$D$25+'Gårdens info'!$D$26+'Gårdens info'!$D$27+'Gårdens info'!$D$28)</f>
        <v>0.20833333333333334</v>
      </c>
      <c r="V61" s="738">
        <f>'Gårdens info'!$D$23/('Gårdens info'!$D$10+'Gårdens info'!$D$11+'Gårdens info'!$D$12+'Gårdens info'!$D$13+'Gårdens info'!$D$22+'Gårdens info'!$D$23+'Gårdens info'!$D$24+'Gårdens info'!$D$25+'Gårdens info'!$D$26+'Gårdens info'!$D$27+'Gårdens info'!$D$28)</f>
        <v>4.1666666666666664E-2</v>
      </c>
      <c r="W61" s="738">
        <f>'Gårdens info'!$D$24/('Gårdens info'!$D$10+'Gårdens info'!$D$11+'Gårdens info'!$D$12+'Gårdens info'!$D$13+'Gårdens info'!$D$22+'Gårdens info'!$D$23+'Gårdens info'!$D$24+'Gårdens info'!$D$25+'Gårdens info'!$D$26+'Gårdens info'!$D$27+'Gårdens info'!$D$28)</f>
        <v>0.16666666666666666</v>
      </c>
      <c r="X61" s="738">
        <f>'Gårdens info'!$D$25/('Gårdens info'!$D$10+'Gårdens info'!$D$11+'Gårdens info'!$D$12+'Gårdens info'!$D$13+'Gårdens info'!$D$22+'Gårdens info'!$D$23+'Gårdens info'!$D$24+'Gårdens info'!$D$25+'Gårdens info'!$D$26+'Gårdens info'!$D$27+'Gårdens info'!$D$28)</f>
        <v>4.1666666666666664E-2</v>
      </c>
      <c r="Y61" s="738">
        <f>'Gårdens info'!$D$26/('Gårdens info'!$D$10+'Gårdens info'!$D$11+'Gårdens info'!$D$12+'Gårdens info'!$D$13+'Gårdens info'!$D$22+'Gårdens info'!$D$23+'Gårdens info'!$D$24+'Gårdens info'!$D$25+'Gårdens info'!$D$26+'Gårdens info'!$D$27+'Gårdens info'!$D$28)</f>
        <v>0.20833333333333334</v>
      </c>
      <c r="Z61" s="738">
        <f>'Gårdens info'!$D$27/('Gårdens info'!$D$10+'Gårdens info'!$D$11+'Gårdens info'!$D$12+'Gårdens info'!$D$13+'Gårdens info'!$D$22+'Gårdens info'!$D$23+'Gårdens info'!$D$24+'Gårdens info'!$D$25+'Gårdens info'!$D$26+'Gårdens info'!$D$27+'Gårdens info'!$D$28)</f>
        <v>4.1666666666666664E-2</v>
      </c>
      <c r="AA61" s="738">
        <f>'Gårdens info'!$D$28/('Gårdens info'!$D$10+'Gårdens info'!$D$11+'Gårdens info'!$D$12+'Gårdens info'!$D$13+'Gårdens info'!$D$22+'Gårdens info'!$D$23+'Gårdens info'!$D$24+'Gårdens info'!$D$25+'Gårdens info'!$D$26+'Gårdens info'!$D$27+'Gårdens info'!$D$28)</f>
        <v>0.125</v>
      </c>
      <c r="AB61" s="738">
        <v>0</v>
      </c>
      <c r="AC61" s="738">
        <v>0</v>
      </c>
      <c r="AD61" s="738">
        <v>0</v>
      </c>
      <c r="AE61" s="738">
        <v>0</v>
      </c>
      <c r="AF61" s="738">
        <v>0</v>
      </c>
      <c r="AG61" s="738">
        <v>0</v>
      </c>
      <c r="AH61" s="743">
        <f t="shared" si="205"/>
        <v>1</v>
      </c>
      <c r="AI61" s="741">
        <f t="shared" si="206"/>
        <v>0</v>
      </c>
      <c r="AJ61" s="740">
        <f t="shared" si="207"/>
        <v>0</v>
      </c>
      <c r="AK61" s="740">
        <f t="shared" si="208"/>
        <v>0</v>
      </c>
      <c r="AL61" s="740">
        <f t="shared" si="209"/>
        <v>0</v>
      </c>
      <c r="AM61" s="740">
        <f t="shared" si="197"/>
        <v>0</v>
      </c>
      <c r="AN61" s="740">
        <f t="shared" si="197"/>
        <v>0</v>
      </c>
      <c r="AO61" s="740">
        <f t="shared" si="197"/>
        <v>0</v>
      </c>
      <c r="AP61" s="740">
        <f t="shared" si="197"/>
        <v>0</v>
      </c>
      <c r="AQ61" s="740">
        <f t="shared" si="197"/>
        <v>0</v>
      </c>
      <c r="AR61" s="740">
        <f t="shared" si="210"/>
        <v>0</v>
      </c>
      <c r="AS61" s="740">
        <f t="shared" si="211"/>
        <v>0</v>
      </c>
      <c r="AT61" s="740">
        <f t="shared" si="212"/>
        <v>0</v>
      </c>
      <c r="AU61" s="740">
        <f t="shared" si="213"/>
        <v>0</v>
      </c>
      <c r="AV61" s="740">
        <f t="shared" si="214"/>
        <v>0</v>
      </c>
      <c r="AW61" s="740">
        <f t="shared" si="215"/>
        <v>0</v>
      </c>
      <c r="AX61" s="740">
        <f t="shared" si="216"/>
        <v>0</v>
      </c>
      <c r="AY61" s="740">
        <f t="shared" si="217"/>
        <v>0</v>
      </c>
      <c r="AZ61" s="740">
        <f t="shared" si="218"/>
        <v>0</v>
      </c>
      <c r="BA61" s="740">
        <f t="shared" si="219"/>
        <v>0</v>
      </c>
      <c r="BB61" s="740">
        <f t="shared" si="220"/>
        <v>0</v>
      </c>
      <c r="BC61" s="740">
        <f t="shared" si="221"/>
        <v>0</v>
      </c>
      <c r="BD61" s="740">
        <f t="shared" si="222"/>
        <v>0</v>
      </c>
      <c r="BE61" s="741">
        <f t="shared" si="223"/>
        <v>0</v>
      </c>
      <c r="BF61" s="740">
        <f t="shared" si="224"/>
        <v>0</v>
      </c>
      <c r="BG61" s="740">
        <f t="shared" si="225"/>
        <v>0</v>
      </c>
      <c r="BH61" s="740">
        <f t="shared" si="226"/>
        <v>0</v>
      </c>
      <c r="BI61" s="740">
        <f t="shared" si="199"/>
        <v>0</v>
      </c>
      <c r="BJ61" s="740">
        <f t="shared" si="199"/>
        <v>0</v>
      </c>
      <c r="BK61" s="740">
        <f t="shared" si="199"/>
        <v>0</v>
      </c>
      <c r="BL61" s="740">
        <f t="shared" si="199"/>
        <v>0</v>
      </c>
      <c r="BM61" s="740">
        <f t="shared" si="199"/>
        <v>0</v>
      </c>
      <c r="BN61" s="740">
        <f t="shared" si="227"/>
        <v>0</v>
      </c>
      <c r="BO61" s="740">
        <f t="shared" si="228"/>
        <v>0</v>
      </c>
      <c r="BP61" s="740">
        <f t="shared" si="229"/>
        <v>0</v>
      </c>
      <c r="BQ61" s="740">
        <f t="shared" si="230"/>
        <v>0</v>
      </c>
      <c r="BR61" s="740">
        <f t="shared" si="231"/>
        <v>0</v>
      </c>
      <c r="BS61" s="740">
        <f t="shared" si="232"/>
        <v>0</v>
      </c>
      <c r="BT61" s="740">
        <f t="shared" si="233"/>
        <v>0</v>
      </c>
      <c r="BU61" s="740">
        <f t="shared" si="234"/>
        <v>0</v>
      </c>
      <c r="BV61" s="740">
        <f t="shared" si="235"/>
        <v>0</v>
      </c>
      <c r="BW61" s="740">
        <f t="shared" si="236"/>
        <v>0</v>
      </c>
      <c r="BX61" s="740">
        <f t="shared" si="237"/>
        <v>0</v>
      </c>
      <c r="BY61" s="740">
        <f t="shared" si="238"/>
        <v>0</v>
      </c>
      <c r="BZ61" s="740">
        <f t="shared" si="239"/>
        <v>0</v>
      </c>
      <c r="CA61" s="741">
        <f t="shared" si="240"/>
        <v>10.416666666666666</v>
      </c>
      <c r="CB61" s="740">
        <f t="shared" si="241"/>
        <v>10.416666666666666</v>
      </c>
      <c r="CC61" s="740">
        <f t="shared" si="242"/>
        <v>10.416666666666666</v>
      </c>
      <c r="CD61" s="740">
        <f t="shared" si="243"/>
        <v>10.416666666666666</v>
      </c>
      <c r="CE61" s="740">
        <f t="shared" si="201"/>
        <v>0</v>
      </c>
      <c r="CF61" s="740">
        <f t="shared" si="201"/>
        <v>0</v>
      </c>
      <c r="CG61" s="740">
        <f t="shared" si="201"/>
        <v>0</v>
      </c>
      <c r="CH61" s="740">
        <f t="shared" si="201"/>
        <v>0</v>
      </c>
      <c r="CI61" s="740">
        <f t="shared" si="201"/>
        <v>0</v>
      </c>
      <c r="CJ61" s="740">
        <f t="shared" si="244"/>
        <v>52.083333333333336</v>
      </c>
      <c r="CK61" s="740">
        <f t="shared" si="245"/>
        <v>10.416666666666666</v>
      </c>
      <c r="CL61" s="740">
        <f t="shared" si="246"/>
        <v>41.666666666666664</v>
      </c>
      <c r="CM61" s="740">
        <f t="shared" si="247"/>
        <v>10.416666666666666</v>
      </c>
      <c r="CN61" s="740">
        <f t="shared" si="248"/>
        <v>52.083333333333336</v>
      </c>
      <c r="CO61" s="740">
        <f t="shared" si="249"/>
        <v>10.416666666666666</v>
      </c>
      <c r="CP61" s="740">
        <f t="shared" si="250"/>
        <v>31.25</v>
      </c>
      <c r="CQ61" s="740">
        <f t="shared" si="251"/>
        <v>0</v>
      </c>
      <c r="CR61" s="740">
        <f t="shared" si="252"/>
        <v>0</v>
      </c>
      <c r="CS61" s="740">
        <f t="shared" si="253"/>
        <v>0</v>
      </c>
      <c r="CT61" s="740">
        <f t="shared" si="254"/>
        <v>0</v>
      </c>
      <c r="CU61" s="740">
        <f t="shared" si="255"/>
        <v>0</v>
      </c>
      <c r="CV61" s="740">
        <f t="shared" si="256"/>
        <v>0</v>
      </c>
      <c r="CW61" s="741">
        <f t="shared" si="257"/>
        <v>0.41666666666666663</v>
      </c>
      <c r="CX61" s="740">
        <f t="shared" si="258"/>
        <v>0.41666666666666663</v>
      </c>
      <c r="CY61" s="740">
        <f t="shared" si="259"/>
        <v>0.41666666666666663</v>
      </c>
      <c r="CZ61" s="740">
        <f t="shared" si="260"/>
        <v>0.41666666666666663</v>
      </c>
      <c r="DA61" s="740">
        <f t="shared" si="203"/>
        <v>0</v>
      </c>
      <c r="DB61" s="740">
        <f t="shared" si="203"/>
        <v>0</v>
      </c>
      <c r="DC61" s="740">
        <f t="shared" si="203"/>
        <v>0</v>
      </c>
      <c r="DD61" s="740">
        <f t="shared" si="203"/>
        <v>0</v>
      </c>
      <c r="DE61" s="740">
        <f t="shared" si="203"/>
        <v>0</v>
      </c>
      <c r="DF61" s="740">
        <f t="shared" si="261"/>
        <v>2.0833333333333335</v>
      </c>
      <c r="DG61" s="740">
        <f t="shared" si="262"/>
        <v>0.41666666666666663</v>
      </c>
      <c r="DH61" s="740">
        <f t="shared" si="263"/>
        <v>1.6666666666666665</v>
      </c>
      <c r="DI61" s="740">
        <f t="shared" si="264"/>
        <v>0.41666666666666663</v>
      </c>
      <c r="DJ61" s="740">
        <f t="shared" si="265"/>
        <v>2.0833333333333335</v>
      </c>
      <c r="DK61" s="740">
        <f t="shared" si="266"/>
        <v>0.41666666666666663</v>
      </c>
      <c r="DL61" s="740">
        <f t="shared" si="267"/>
        <v>1.25</v>
      </c>
      <c r="DM61" s="740">
        <f t="shared" si="268"/>
        <v>0</v>
      </c>
      <c r="DN61" s="740">
        <f t="shared" si="269"/>
        <v>0</v>
      </c>
      <c r="DO61" s="740">
        <f t="shared" si="270"/>
        <v>0</v>
      </c>
      <c r="DP61" s="740">
        <f t="shared" si="271"/>
        <v>0</v>
      </c>
      <c r="DQ61" s="740">
        <f t="shared" si="272"/>
        <v>0</v>
      </c>
      <c r="DR61" s="742">
        <f t="shared" si="273"/>
        <v>0</v>
      </c>
    </row>
    <row r="62" spans="1:122" s="732" customFormat="1" ht="13.8" thickBot="1" x14ac:dyDescent="0.3">
      <c r="B62" s="730" t="str">
        <f>'Gårdens info'!C110</f>
        <v>Droppbevattningsutrustning</v>
      </c>
      <c r="C62" s="733">
        <f>'Gårdens info'!D110</f>
        <v>3000</v>
      </c>
      <c r="D62" s="734" t="s">
        <v>7</v>
      </c>
      <c r="E62" s="733">
        <f>'Gårdens info'!J110</f>
        <v>2010</v>
      </c>
      <c r="F62" s="751">
        <f>'Gårdens info'!G110</f>
        <v>1</v>
      </c>
      <c r="G62" s="752" t="s">
        <v>15</v>
      </c>
      <c r="H62" s="753">
        <v>10</v>
      </c>
      <c r="I62" s="730">
        <f t="shared" ref="I62:I75" si="274">C62*F62</f>
        <v>3000</v>
      </c>
      <c r="J62" s="735">
        <v>0</v>
      </c>
      <c r="K62" s="736">
        <v>0.05</v>
      </c>
      <c r="L62" s="738">
        <f>'Gårdens info'!$D$10/('Gårdens info'!$D$10+'Gårdens info'!$D$11+'Gårdens info'!$D$12+'Gårdens info'!$D$13+'Gårdens info'!$D$22+'Gårdens info'!$D$23+'Gårdens info'!$D$24+'Gårdens info'!$D$25+'Gårdens info'!$D$26+'Gårdens info'!$D$27+'Gårdens info'!$D$28)</f>
        <v>4.1666666666666664E-2</v>
      </c>
      <c r="M62" s="738">
        <f>'Gårdens info'!$D$11/('Gårdens info'!$D$10+'Gårdens info'!$D$11+'Gårdens info'!$D$12+'Gårdens info'!$D$13+'Gårdens info'!$D$22+'Gårdens info'!$D$23+'Gårdens info'!$D$24+'Gårdens info'!$D$25+'Gårdens info'!$D$26+'Gårdens info'!$D$27+'Gårdens info'!$D$28)</f>
        <v>4.1666666666666664E-2</v>
      </c>
      <c r="N62" s="738">
        <f>'Gårdens info'!$D$12/('Gårdens info'!$D$10+'Gårdens info'!$D$11+'Gårdens info'!$D$12+'Gårdens info'!$D$13+'Gårdens info'!$D$22+'Gårdens info'!$D$23+'Gårdens info'!$D$24+'Gårdens info'!$D$25+'Gårdens info'!$D$26+'Gårdens info'!$D$27+'Gårdens info'!$D$28)</f>
        <v>4.1666666666666664E-2</v>
      </c>
      <c r="O62" s="738">
        <f>'Gårdens info'!$D$13/('Gårdens info'!$D$10+'Gårdens info'!$D$11+'Gårdens info'!$D$12+'Gårdens info'!$D$13+'Gårdens info'!$D$22+'Gårdens info'!$D$23+'Gårdens info'!$D$24+'Gårdens info'!$D$25+'Gårdens info'!$D$26+'Gårdens info'!$D$27+'Gårdens info'!$D$28)</f>
        <v>4.1666666666666664E-2</v>
      </c>
      <c r="P62" s="738">
        <f>'Gårdens info'!$D$14/('Gårdens info'!$D$10+'Gårdens info'!$D$11+'Gårdens info'!$D$12+'Gårdens info'!$D$13+'Gårdens info'!$D$22+'Gårdens info'!$D$23+'Gårdens info'!$D$24+'Gårdens info'!$D$25+'Gårdens info'!$D$26+'Gårdens info'!$D$27+'Gårdens info'!$D$28)</f>
        <v>0</v>
      </c>
      <c r="Q62" s="738">
        <f>'Gårdens info'!$D$15/('Gårdens info'!$D$10+'Gårdens info'!$D$11+'Gårdens info'!$D$12+'Gårdens info'!$D$13+'Gårdens info'!$D$22+'Gårdens info'!$D$23+'Gårdens info'!$D$24+'Gårdens info'!$D$25+'Gårdens info'!$D$26+'Gårdens info'!$D$27+'Gårdens info'!$D$28)</f>
        <v>0</v>
      </c>
      <c r="R62" s="738">
        <f>'Gårdens info'!$D$16/('Gårdens info'!$D$10+'Gårdens info'!$D$11+'Gårdens info'!$D$12+'Gårdens info'!$D$13+'Gårdens info'!$D$22+'Gårdens info'!$D$23+'Gårdens info'!$D$24+'Gårdens info'!$D$25+'Gårdens info'!$D$26+'Gårdens info'!$D$27+'Gårdens info'!$D$28)</f>
        <v>0</v>
      </c>
      <c r="S62" s="738">
        <f>'Gårdens info'!$D$17/('Gårdens info'!$D$10+'Gårdens info'!$D$11+'Gårdens info'!$D$12+'Gårdens info'!$D$13+'Gårdens info'!$D$22+'Gårdens info'!$D$23+'Gårdens info'!$D$24+'Gårdens info'!$D$25+'Gårdens info'!$D$26+'Gårdens info'!$D$27+'Gårdens info'!$D$28)</f>
        <v>0</v>
      </c>
      <c r="T62" s="738">
        <f>'Gårdens info'!$D$18/('Gårdens info'!$D$10+'Gårdens info'!$D$11+'Gårdens info'!$D$12+'Gårdens info'!$D$13+'Gårdens info'!$D$22+'Gårdens info'!$D$23+'Gårdens info'!$D$24+'Gårdens info'!$D$25+'Gårdens info'!$D$26+'Gårdens info'!$D$27+'Gårdens info'!$D$28)</f>
        <v>0</v>
      </c>
      <c r="U62" s="738">
        <f>'Gårdens info'!$D$22/('Gårdens info'!$D$10+'Gårdens info'!$D$11+'Gårdens info'!$D$12+'Gårdens info'!$D$13+'Gårdens info'!$D$22+'Gårdens info'!$D$23+'Gårdens info'!$D$24+'Gårdens info'!$D$25+'Gårdens info'!$D$26+'Gårdens info'!$D$27+'Gårdens info'!$D$28)</f>
        <v>0.20833333333333334</v>
      </c>
      <c r="V62" s="738">
        <f>'Gårdens info'!$D$23/('Gårdens info'!$D$10+'Gårdens info'!$D$11+'Gårdens info'!$D$12+'Gårdens info'!$D$13+'Gårdens info'!$D$22+'Gårdens info'!$D$23+'Gårdens info'!$D$24+'Gårdens info'!$D$25+'Gårdens info'!$D$26+'Gårdens info'!$D$27+'Gårdens info'!$D$28)</f>
        <v>4.1666666666666664E-2</v>
      </c>
      <c r="W62" s="738">
        <f>'Gårdens info'!$D$24/('Gårdens info'!$D$10+'Gårdens info'!$D$11+'Gårdens info'!$D$12+'Gårdens info'!$D$13+'Gårdens info'!$D$22+'Gårdens info'!$D$23+'Gårdens info'!$D$24+'Gårdens info'!$D$25+'Gårdens info'!$D$26+'Gårdens info'!$D$27+'Gårdens info'!$D$28)</f>
        <v>0.16666666666666666</v>
      </c>
      <c r="X62" s="738">
        <f>'Gårdens info'!$D$25/('Gårdens info'!$D$10+'Gårdens info'!$D$11+'Gårdens info'!$D$12+'Gårdens info'!$D$13+'Gårdens info'!$D$22+'Gårdens info'!$D$23+'Gårdens info'!$D$24+'Gårdens info'!$D$25+'Gårdens info'!$D$26+'Gårdens info'!$D$27+'Gårdens info'!$D$28)</f>
        <v>4.1666666666666664E-2</v>
      </c>
      <c r="Y62" s="738">
        <f>'Gårdens info'!$D$26/('Gårdens info'!$D$10+'Gårdens info'!$D$11+'Gårdens info'!$D$12+'Gårdens info'!$D$13+'Gårdens info'!$D$22+'Gårdens info'!$D$23+'Gårdens info'!$D$24+'Gårdens info'!$D$25+'Gårdens info'!$D$26+'Gårdens info'!$D$27+'Gårdens info'!$D$28)</f>
        <v>0.20833333333333334</v>
      </c>
      <c r="Z62" s="738">
        <f>'Gårdens info'!$D$27/('Gårdens info'!$D$10+'Gårdens info'!$D$11+'Gårdens info'!$D$12+'Gårdens info'!$D$13+'Gårdens info'!$D$22+'Gårdens info'!$D$23+'Gårdens info'!$D$24+'Gårdens info'!$D$25+'Gårdens info'!$D$26+'Gårdens info'!$D$27+'Gårdens info'!$D$28)</f>
        <v>4.1666666666666664E-2</v>
      </c>
      <c r="AA62" s="738">
        <f>'Gårdens info'!$D$28/('Gårdens info'!$D$10+'Gårdens info'!$D$11+'Gårdens info'!$D$12+'Gårdens info'!$D$13+'Gårdens info'!$D$22+'Gårdens info'!$D$23+'Gårdens info'!$D$24+'Gårdens info'!$D$25+'Gårdens info'!$D$26+'Gårdens info'!$D$27+'Gårdens info'!$D$28)</f>
        <v>0.125</v>
      </c>
      <c r="AB62" s="738">
        <v>0</v>
      </c>
      <c r="AC62" s="738">
        <v>0</v>
      </c>
      <c r="AD62" s="738">
        <v>0</v>
      </c>
      <c r="AE62" s="738">
        <v>0</v>
      </c>
      <c r="AF62" s="738">
        <v>0</v>
      </c>
      <c r="AG62" s="738">
        <v>0</v>
      </c>
      <c r="AH62" s="743">
        <f t="shared" si="205"/>
        <v>1</v>
      </c>
      <c r="AI62" s="741">
        <f t="shared" si="206"/>
        <v>0</v>
      </c>
      <c r="AJ62" s="740">
        <f t="shared" si="207"/>
        <v>0</v>
      </c>
      <c r="AK62" s="740">
        <f t="shared" si="208"/>
        <v>0</v>
      </c>
      <c r="AL62" s="740">
        <f t="shared" si="209"/>
        <v>0</v>
      </c>
      <c r="AM62" s="740">
        <f t="shared" si="197"/>
        <v>0</v>
      </c>
      <c r="AN62" s="740">
        <f t="shared" si="197"/>
        <v>0</v>
      </c>
      <c r="AO62" s="740">
        <f t="shared" si="197"/>
        <v>0</v>
      </c>
      <c r="AP62" s="740">
        <f t="shared" si="197"/>
        <v>0</v>
      </c>
      <c r="AQ62" s="740">
        <f t="shared" si="197"/>
        <v>0</v>
      </c>
      <c r="AR62" s="740">
        <f t="shared" si="210"/>
        <v>0</v>
      </c>
      <c r="AS62" s="740">
        <f t="shared" si="211"/>
        <v>0</v>
      </c>
      <c r="AT62" s="740">
        <f t="shared" si="212"/>
        <v>0</v>
      </c>
      <c r="AU62" s="740">
        <f t="shared" si="213"/>
        <v>0</v>
      </c>
      <c r="AV62" s="740">
        <f t="shared" si="214"/>
        <v>0</v>
      </c>
      <c r="AW62" s="740">
        <f t="shared" si="215"/>
        <v>0</v>
      </c>
      <c r="AX62" s="740">
        <f t="shared" si="216"/>
        <v>0</v>
      </c>
      <c r="AY62" s="740">
        <f t="shared" si="217"/>
        <v>0</v>
      </c>
      <c r="AZ62" s="740">
        <f t="shared" si="218"/>
        <v>0</v>
      </c>
      <c r="BA62" s="740">
        <f t="shared" si="219"/>
        <v>0</v>
      </c>
      <c r="BB62" s="740">
        <f t="shared" si="220"/>
        <v>0</v>
      </c>
      <c r="BC62" s="740">
        <f t="shared" si="221"/>
        <v>0</v>
      </c>
      <c r="BD62" s="740">
        <f t="shared" si="222"/>
        <v>0</v>
      </c>
      <c r="BE62" s="741">
        <f t="shared" si="223"/>
        <v>0</v>
      </c>
      <c r="BF62" s="740">
        <f t="shared" si="224"/>
        <v>0</v>
      </c>
      <c r="BG62" s="740">
        <f t="shared" si="225"/>
        <v>0</v>
      </c>
      <c r="BH62" s="740">
        <f t="shared" si="226"/>
        <v>0</v>
      </c>
      <c r="BI62" s="740">
        <f t="shared" si="199"/>
        <v>0</v>
      </c>
      <c r="BJ62" s="740">
        <f t="shared" si="199"/>
        <v>0</v>
      </c>
      <c r="BK62" s="740">
        <f t="shared" si="199"/>
        <v>0</v>
      </c>
      <c r="BL62" s="740">
        <f t="shared" si="199"/>
        <v>0</v>
      </c>
      <c r="BM62" s="740">
        <f t="shared" si="199"/>
        <v>0</v>
      </c>
      <c r="BN62" s="740">
        <f t="shared" si="227"/>
        <v>0</v>
      </c>
      <c r="BO62" s="740">
        <f t="shared" si="228"/>
        <v>0</v>
      </c>
      <c r="BP62" s="740">
        <f t="shared" si="229"/>
        <v>0</v>
      </c>
      <c r="BQ62" s="740">
        <f t="shared" si="230"/>
        <v>0</v>
      </c>
      <c r="BR62" s="740">
        <f t="shared" si="231"/>
        <v>0</v>
      </c>
      <c r="BS62" s="740">
        <f t="shared" si="232"/>
        <v>0</v>
      </c>
      <c r="BT62" s="740">
        <f t="shared" si="233"/>
        <v>0</v>
      </c>
      <c r="BU62" s="740">
        <f t="shared" si="234"/>
        <v>0</v>
      </c>
      <c r="BV62" s="740">
        <f t="shared" si="235"/>
        <v>0</v>
      </c>
      <c r="BW62" s="740">
        <f t="shared" si="236"/>
        <v>0</v>
      </c>
      <c r="BX62" s="740">
        <f t="shared" si="237"/>
        <v>0</v>
      </c>
      <c r="BY62" s="740">
        <f t="shared" si="238"/>
        <v>0</v>
      </c>
      <c r="BZ62" s="740">
        <f t="shared" si="239"/>
        <v>0</v>
      </c>
      <c r="CA62" s="741">
        <f t="shared" si="240"/>
        <v>6.25</v>
      </c>
      <c r="CB62" s="740">
        <f t="shared" si="241"/>
        <v>6.25</v>
      </c>
      <c r="CC62" s="740">
        <f t="shared" si="242"/>
        <v>6.25</v>
      </c>
      <c r="CD62" s="740">
        <f t="shared" si="243"/>
        <v>6.25</v>
      </c>
      <c r="CE62" s="740">
        <f t="shared" si="201"/>
        <v>0</v>
      </c>
      <c r="CF62" s="740">
        <f t="shared" si="201"/>
        <v>0</v>
      </c>
      <c r="CG62" s="740">
        <f t="shared" si="201"/>
        <v>0</v>
      </c>
      <c r="CH62" s="740">
        <f t="shared" si="201"/>
        <v>0</v>
      </c>
      <c r="CI62" s="740">
        <f t="shared" si="201"/>
        <v>0</v>
      </c>
      <c r="CJ62" s="740">
        <f t="shared" si="244"/>
        <v>31.25</v>
      </c>
      <c r="CK62" s="740">
        <f t="shared" si="245"/>
        <v>6.25</v>
      </c>
      <c r="CL62" s="740">
        <f t="shared" si="246"/>
        <v>25</v>
      </c>
      <c r="CM62" s="740">
        <f t="shared" si="247"/>
        <v>6.25</v>
      </c>
      <c r="CN62" s="740">
        <f t="shared" si="248"/>
        <v>31.25</v>
      </c>
      <c r="CO62" s="740">
        <f t="shared" si="249"/>
        <v>6.25</v>
      </c>
      <c r="CP62" s="740">
        <f t="shared" si="250"/>
        <v>18.75</v>
      </c>
      <c r="CQ62" s="740">
        <f t="shared" si="251"/>
        <v>0</v>
      </c>
      <c r="CR62" s="740">
        <f t="shared" si="252"/>
        <v>0</v>
      </c>
      <c r="CS62" s="740">
        <f t="shared" si="253"/>
        <v>0</v>
      </c>
      <c r="CT62" s="740">
        <f t="shared" si="254"/>
        <v>0</v>
      </c>
      <c r="CU62" s="740">
        <f t="shared" si="255"/>
        <v>0</v>
      </c>
      <c r="CV62" s="740">
        <f t="shared" si="256"/>
        <v>0</v>
      </c>
      <c r="CW62" s="741">
        <f t="shared" si="257"/>
        <v>0.25</v>
      </c>
      <c r="CX62" s="740">
        <f t="shared" si="258"/>
        <v>0.25</v>
      </c>
      <c r="CY62" s="740">
        <f t="shared" si="259"/>
        <v>0.25</v>
      </c>
      <c r="CZ62" s="740">
        <f t="shared" si="260"/>
        <v>0.25</v>
      </c>
      <c r="DA62" s="740">
        <f t="shared" si="203"/>
        <v>0</v>
      </c>
      <c r="DB62" s="740">
        <f t="shared" si="203"/>
        <v>0</v>
      </c>
      <c r="DC62" s="740">
        <f t="shared" si="203"/>
        <v>0</v>
      </c>
      <c r="DD62" s="740">
        <f t="shared" si="203"/>
        <v>0</v>
      </c>
      <c r="DE62" s="740">
        <f t="shared" si="203"/>
        <v>0</v>
      </c>
      <c r="DF62" s="740">
        <f t="shared" si="261"/>
        <v>1.25</v>
      </c>
      <c r="DG62" s="740">
        <f t="shared" si="262"/>
        <v>0.25</v>
      </c>
      <c r="DH62" s="740">
        <f t="shared" si="263"/>
        <v>1</v>
      </c>
      <c r="DI62" s="740">
        <f t="shared" si="264"/>
        <v>0.25</v>
      </c>
      <c r="DJ62" s="740">
        <f t="shared" si="265"/>
        <v>1.25</v>
      </c>
      <c r="DK62" s="740">
        <f t="shared" si="266"/>
        <v>0.25</v>
      </c>
      <c r="DL62" s="740">
        <f t="shared" si="267"/>
        <v>0.75</v>
      </c>
      <c r="DM62" s="740">
        <f t="shared" si="268"/>
        <v>0</v>
      </c>
      <c r="DN62" s="740">
        <f t="shared" si="269"/>
        <v>0</v>
      </c>
      <c r="DO62" s="740">
        <f t="shared" si="270"/>
        <v>0</v>
      </c>
      <c r="DP62" s="740">
        <f t="shared" si="271"/>
        <v>0</v>
      </c>
      <c r="DQ62" s="740">
        <f t="shared" si="272"/>
        <v>0</v>
      </c>
      <c r="DR62" s="742">
        <f t="shared" si="273"/>
        <v>0</v>
      </c>
    </row>
    <row r="63" spans="1:122" s="732" customFormat="1" ht="13.8" thickBot="1" x14ac:dyDescent="0.3">
      <c r="B63" s="730" t="str">
        <f>'Gårdens info'!C111</f>
        <v>Droppslangar</v>
      </c>
      <c r="C63" s="733">
        <f>'Gårdens info'!D111</f>
        <v>2000</v>
      </c>
      <c r="D63" s="734" t="s">
        <v>7</v>
      </c>
      <c r="E63" s="733">
        <f>'Gårdens info'!J111</f>
        <v>2010</v>
      </c>
      <c r="F63" s="751">
        <f>'Gårdens info'!G111</f>
        <v>1</v>
      </c>
      <c r="G63" s="752" t="s">
        <v>25</v>
      </c>
      <c r="H63" s="753">
        <v>10</v>
      </c>
      <c r="I63" s="730">
        <f t="shared" si="274"/>
        <v>2000</v>
      </c>
      <c r="J63" s="735">
        <v>0</v>
      </c>
      <c r="K63" s="736">
        <v>0.05</v>
      </c>
      <c r="L63" s="738">
        <f>'Gårdens info'!$D$10/('Gårdens info'!$D$10+'Gårdens info'!$D$11+'Gårdens info'!$D$12+'Gårdens info'!$D$13+'Gårdens info'!$D$22+'Gårdens info'!$D$23+'Gårdens info'!$D$24+'Gårdens info'!$D$25+'Gårdens info'!$D$26+'Gårdens info'!$D$27+'Gårdens info'!$D$28)</f>
        <v>4.1666666666666664E-2</v>
      </c>
      <c r="M63" s="738">
        <f>'Gårdens info'!$D$11/('Gårdens info'!$D$10+'Gårdens info'!$D$11+'Gårdens info'!$D$12+'Gårdens info'!$D$13+'Gårdens info'!$D$22+'Gårdens info'!$D$23+'Gårdens info'!$D$24+'Gårdens info'!$D$25+'Gårdens info'!$D$26+'Gårdens info'!$D$27+'Gårdens info'!$D$28)</f>
        <v>4.1666666666666664E-2</v>
      </c>
      <c r="N63" s="738">
        <f>'Gårdens info'!$D$12/('Gårdens info'!$D$10+'Gårdens info'!$D$11+'Gårdens info'!$D$12+'Gårdens info'!$D$13+'Gårdens info'!$D$22+'Gårdens info'!$D$23+'Gårdens info'!$D$24+'Gårdens info'!$D$25+'Gårdens info'!$D$26+'Gårdens info'!$D$27+'Gårdens info'!$D$28)</f>
        <v>4.1666666666666664E-2</v>
      </c>
      <c r="O63" s="738">
        <f>'Gårdens info'!$D$13/('Gårdens info'!$D$10+'Gårdens info'!$D$11+'Gårdens info'!$D$12+'Gårdens info'!$D$13+'Gårdens info'!$D$22+'Gårdens info'!$D$23+'Gårdens info'!$D$24+'Gårdens info'!$D$25+'Gårdens info'!$D$26+'Gårdens info'!$D$27+'Gårdens info'!$D$28)</f>
        <v>4.1666666666666664E-2</v>
      </c>
      <c r="P63" s="738">
        <f>'Gårdens info'!$D$14/('Gårdens info'!$D$10+'Gårdens info'!$D$11+'Gårdens info'!$D$12+'Gårdens info'!$D$13+'Gårdens info'!$D$22+'Gårdens info'!$D$23+'Gårdens info'!$D$24+'Gårdens info'!$D$25+'Gårdens info'!$D$26+'Gårdens info'!$D$27+'Gårdens info'!$D$28)</f>
        <v>0</v>
      </c>
      <c r="Q63" s="738">
        <f>'Gårdens info'!$D$15/('Gårdens info'!$D$10+'Gårdens info'!$D$11+'Gårdens info'!$D$12+'Gårdens info'!$D$13+'Gårdens info'!$D$22+'Gårdens info'!$D$23+'Gårdens info'!$D$24+'Gårdens info'!$D$25+'Gårdens info'!$D$26+'Gårdens info'!$D$27+'Gårdens info'!$D$28)</f>
        <v>0</v>
      </c>
      <c r="R63" s="738">
        <f>'Gårdens info'!$D$16/('Gårdens info'!$D$10+'Gårdens info'!$D$11+'Gårdens info'!$D$12+'Gårdens info'!$D$13+'Gårdens info'!$D$22+'Gårdens info'!$D$23+'Gårdens info'!$D$24+'Gårdens info'!$D$25+'Gårdens info'!$D$26+'Gårdens info'!$D$27+'Gårdens info'!$D$28)</f>
        <v>0</v>
      </c>
      <c r="S63" s="738">
        <f>'Gårdens info'!$D$17/('Gårdens info'!$D$10+'Gårdens info'!$D$11+'Gårdens info'!$D$12+'Gårdens info'!$D$13+'Gårdens info'!$D$22+'Gårdens info'!$D$23+'Gårdens info'!$D$24+'Gårdens info'!$D$25+'Gårdens info'!$D$26+'Gårdens info'!$D$27+'Gårdens info'!$D$28)</f>
        <v>0</v>
      </c>
      <c r="T63" s="738">
        <f>'Gårdens info'!$D$18/('Gårdens info'!$D$10+'Gårdens info'!$D$11+'Gårdens info'!$D$12+'Gårdens info'!$D$13+'Gårdens info'!$D$22+'Gårdens info'!$D$23+'Gårdens info'!$D$24+'Gårdens info'!$D$25+'Gårdens info'!$D$26+'Gårdens info'!$D$27+'Gårdens info'!$D$28)</f>
        <v>0</v>
      </c>
      <c r="U63" s="738">
        <f>'Gårdens info'!$D$22/('Gårdens info'!$D$10+'Gårdens info'!$D$11+'Gårdens info'!$D$12+'Gårdens info'!$D$13+'Gårdens info'!$D$22+'Gårdens info'!$D$23+'Gårdens info'!$D$24+'Gårdens info'!$D$25+'Gårdens info'!$D$26+'Gårdens info'!$D$27+'Gårdens info'!$D$28)</f>
        <v>0.20833333333333334</v>
      </c>
      <c r="V63" s="738">
        <f>'Gårdens info'!$D$23/('Gårdens info'!$D$10+'Gårdens info'!$D$11+'Gårdens info'!$D$12+'Gårdens info'!$D$13+'Gårdens info'!$D$22+'Gårdens info'!$D$23+'Gårdens info'!$D$24+'Gårdens info'!$D$25+'Gårdens info'!$D$26+'Gårdens info'!$D$27+'Gårdens info'!$D$28)</f>
        <v>4.1666666666666664E-2</v>
      </c>
      <c r="W63" s="738">
        <f>'Gårdens info'!$D$24/('Gårdens info'!$D$10+'Gårdens info'!$D$11+'Gårdens info'!$D$12+'Gårdens info'!$D$13+'Gårdens info'!$D$22+'Gårdens info'!$D$23+'Gårdens info'!$D$24+'Gårdens info'!$D$25+'Gårdens info'!$D$26+'Gårdens info'!$D$27+'Gårdens info'!$D$28)</f>
        <v>0.16666666666666666</v>
      </c>
      <c r="X63" s="738">
        <f>'Gårdens info'!$D$25/('Gårdens info'!$D$10+'Gårdens info'!$D$11+'Gårdens info'!$D$12+'Gårdens info'!$D$13+'Gårdens info'!$D$22+'Gårdens info'!$D$23+'Gårdens info'!$D$24+'Gårdens info'!$D$25+'Gårdens info'!$D$26+'Gårdens info'!$D$27+'Gårdens info'!$D$28)</f>
        <v>4.1666666666666664E-2</v>
      </c>
      <c r="Y63" s="738">
        <f>'Gårdens info'!$D$26/('Gårdens info'!$D$10+'Gårdens info'!$D$11+'Gårdens info'!$D$12+'Gårdens info'!$D$13+'Gårdens info'!$D$22+'Gårdens info'!$D$23+'Gårdens info'!$D$24+'Gårdens info'!$D$25+'Gårdens info'!$D$26+'Gårdens info'!$D$27+'Gårdens info'!$D$28)</f>
        <v>0.20833333333333334</v>
      </c>
      <c r="Z63" s="738">
        <f>'Gårdens info'!$D$27/('Gårdens info'!$D$10+'Gårdens info'!$D$11+'Gårdens info'!$D$12+'Gårdens info'!$D$13+'Gårdens info'!$D$22+'Gårdens info'!$D$23+'Gårdens info'!$D$24+'Gårdens info'!$D$25+'Gårdens info'!$D$26+'Gårdens info'!$D$27+'Gårdens info'!$D$28)</f>
        <v>4.1666666666666664E-2</v>
      </c>
      <c r="AA63" s="738">
        <f>'Gårdens info'!$D$28/('Gårdens info'!$D$10+'Gårdens info'!$D$11+'Gårdens info'!$D$12+'Gårdens info'!$D$13+'Gårdens info'!$D$22+'Gårdens info'!$D$23+'Gårdens info'!$D$24+'Gårdens info'!$D$25+'Gårdens info'!$D$26+'Gårdens info'!$D$27+'Gårdens info'!$D$28)</f>
        <v>0.125</v>
      </c>
      <c r="AB63" s="738">
        <v>0</v>
      </c>
      <c r="AC63" s="738">
        <v>0</v>
      </c>
      <c r="AD63" s="738">
        <v>0</v>
      </c>
      <c r="AE63" s="738">
        <v>0</v>
      </c>
      <c r="AF63" s="738">
        <v>0</v>
      </c>
      <c r="AG63" s="738">
        <v>0</v>
      </c>
      <c r="AH63" s="743">
        <f>+SUM(L63:AG63)</f>
        <v>1</v>
      </c>
      <c r="AI63" s="741">
        <f t="shared" si="206"/>
        <v>0</v>
      </c>
      <c r="AJ63" s="740">
        <f t="shared" si="207"/>
        <v>0</v>
      </c>
      <c r="AK63" s="740">
        <f t="shared" si="208"/>
        <v>0</v>
      </c>
      <c r="AL63" s="740">
        <f t="shared" si="209"/>
        <v>0</v>
      </c>
      <c r="AM63" s="740">
        <f t="shared" si="197"/>
        <v>0</v>
      </c>
      <c r="AN63" s="740">
        <f t="shared" si="197"/>
        <v>0</v>
      </c>
      <c r="AO63" s="740">
        <f t="shared" si="197"/>
        <v>0</v>
      </c>
      <c r="AP63" s="740">
        <f t="shared" si="197"/>
        <v>0</v>
      </c>
      <c r="AQ63" s="740">
        <f t="shared" si="197"/>
        <v>0</v>
      </c>
      <c r="AR63" s="740">
        <f t="shared" si="210"/>
        <v>0</v>
      </c>
      <c r="AS63" s="740">
        <f t="shared" si="211"/>
        <v>0</v>
      </c>
      <c r="AT63" s="740">
        <f t="shared" si="212"/>
        <v>0</v>
      </c>
      <c r="AU63" s="740">
        <f t="shared" si="213"/>
        <v>0</v>
      </c>
      <c r="AV63" s="740">
        <f t="shared" si="214"/>
        <v>0</v>
      </c>
      <c r="AW63" s="740">
        <f t="shared" si="215"/>
        <v>0</v>
      </c>
      <c r="AX63" s="740">
        <f t="shared" si="216"/>
        <v>0</v>
      </c>
      <c r="AY63" s="740">
        <f t="shared" si="217"/>
        <v>0</v>
      </c>
      <c r="AZ63" s="740">
        <f t="shared" si="218"/>
        <v>0</v>
      </c>
      <c r="BA63" s="740">
        <f t="shared" si="219"/>
        <v>0</v>
      </c>
      <c r="BB63" s="740">
        <f t="shared" si="220"/>
        <v>0</v>
      </c>
      <c r="BC63" s="740">
        <f t="shared" si="221"/>
        <v>0</v>
      </c>
      <c r="BD63" s="740">
        <f t="shared" si="222"/>
        <v>0</v>
      </c>
      <c r="BE63" s="741">
        <f t="shared" si="223"/>
        <v>0</v>
      </c>
      <c r="BF63" s="740">
        <f t="shared" si="224"/>
        <v>0</v>
      </c>
      <c r="BG63" s="740">
        <f t="shared" si="225"/>
        <v>0</v>
      </c>
      <c r="BH63" s="740">
        <f t="shared" si="226"/>
        <v>0</v>
      </c>
      <c r="BI63" s="740">
        <f t="shared" si="199"/>
        <v>0</v>
      </c>
      <c r="BJ63" s="740">
        <f t="shared" si="199"/>
        <v>0</v>
      </c>
      <c r="BK63" s="740">
        <f t="shared" si="199"/>
        <v>0</v>
      </c>
      <c r="BL63" s="740">
        <f t="shared" si="199"/>
        <v>0</v>
      </c>
      <c r="BM63" s="740">
        <f t="shared" si="199"/>
        <v>0</v>
      </c>
      <c r="BN63" s="740">
        <f t="shared" si="227"/>
        <v>0</v>
      </c>
      <c r="BO63" s="740">
        <f t="shared" si="228"/>
        <v>0</v>
      </c>
      <c r="BP63" s="740">
        <f t="shared" si="229"/>
        <v>0</v>
      </c>
      <c r="BQ63" s="740">
        <f t="shared" si="230"/>
        <v>0</v>
      </c>
      <c r="BR63" s="740">
        <f t="shared" si="231"/>
        <v>0</v>
      </c>
      <c r="BS63" s="740">
        <f t="shared" si="232"/>
        <v>0</v>
      </c>
      <c r="BT63" s="740">
        <f t="shared" si="233"/>
        <v>0</v>
      </c>
      <c r="BU63" s="740">
        <f t="shared" si="234"/>
        <v>0</v>
      </c>
      <c r="BV63" s="740">
        <f t="shared" si="235"/>
        <v>0</v>
      </c>
      <c r="BW63" s="740">
        <f t="shared" si="236"/>
        <v>0</v>
      </c>
      <c r="BX63" s="740">
        <f t="shared" si="237"/>
        <v>0</v>
      </c>
      <c r="BY63" s="740">
        <f t="shared" si="238"/>
        <v>0</v>
      </c>
      <c r="BZ63" s="740">
        <f t="shared" si="239"/>
        <v>0</v>
      </c>
      <c r="CA63" s="741">
        <f t="shared" si="240"/>
        <v>4.1666666666666661</v>
      </c>
      <c r="CB63" s="740">
        <f t="shared" si="241"/>
        <v>4.1666666666666661</v>
      </c>
      <c r="CC63" s="740">
        <f t="shared" si="242"/>
        <v>4.1666666666666661</v>
      </c>
      <c r="CD63" s="740">
        <f t="shared" si="243"/>
        <v>4.1666666666666661</v>
      </c>
      <c r="CE63" s="740">
        <f t="shared" si="201"/>
        <v>0</v>
      </c>
      <c r="CF63" s="740">
        <f t="shared" si="201"/>
        <v>0</v>
      </c>
      <c r="CG63" s="740">
        <f t="shared" si="201"/>
        <v>0</v>
      </c>
      <c r="CH63" s="740">
        <f t="shared" si="201"/>
        <v>0</v>
      </c>
      <c r="CI63" s="740">
        <f t="shared" si="201"/>
        <v>0</v>
      </c>
      <c r="CJ63" s="740">
        <f t="shared" si="244"/>
        <v>20.833333333333336</v>
      </c>
      <c r="CK63" s="740">
        <f t="shared" si="245"/>
        <v>4.1666666666666661</v>
      </c>
      <c r="CL63" s="740">
        <f t="shared" si="246"/>
        <v>16.666666666666664</v>
      </c>
      <c r="CM63" s="740">
        <f t="shared" si="247"/>
        <v>4.1666666666666661</v>
      </c>
      <c r="CN63" s="740">
        <f t="shared" si="248"/>
        <v>20.833333333333336</v>
      </c>
      <c r="CO63" s="740">
        <f t="shared" si="249"/>
        <v>4.1666666666666661</v>
      </c>
      <c r="CP63" s="740">
        <f t="shared" si="250"/>
        <v>12.5</v>
      </c>
      <c r="CQ63" s="740">
        <f t="shared" si="251"/>
        <v>0</v>
      </c>
      <c r="CR63" s="740">
        <f t="shared" si="252"/>
        <v>0</v>
      </c>
      <c r="CS63" s="740">
        <f t="shared" si="253"/>
        <v>0</v>
      </c>
      <c r="CT63" s="740">
        <f t="shared" si="254"/>
        <v>0</v>
      </c>
      <c r="CU63" s="740">
        <f t="shared" si="255"/>
        <v>0</v>
      </c>
      <c r="CV63" s="740">
        <f t="shared" si="256"/>
        <v>0</v>
      </c>
      <c r="CW63" s="741">
        <f t="shared" si="257"/>
        <v>0.16666666666666666</v>
      </c>
      <c r="CX63" s="740">
        <f t="shared" si="258"/>
        <v>0.16666666666666666</v>
      </c>
      <c r="CY63" s="740">
        <f t="shared" si="259"/>
        <v>0.16666666666666666</v>
      </c>
      <c r="CZ63" s="740">
        <f t="shared" si="260"/>
        <v>0.16666666666666666</v>
      </c>
      <c r="DA63" s="740">
        <f t="shared" si="203"/>
        <v>0</v>
      </c>
      <c r="DB63" s="740">
        <f t="shared" si="203"/>
        <v>0</v>
      </c>
      <c r="DC63" s="740">
        <f t="shared" si="203"/>
        <v>0</v>
      </c>
      <c r="DD63" s="740">
        <f t="shared" si="203"/>
        <v>0</v>
      </c>
      <c r="DE63" s="740">
        <f t="shared" si="203"/>
        <v>0</v>
      </c>
      <c r="DF63" s="740">
        <f t="shared" si="261"/>
        <v>0.83333333333333337</v>
      </c>
      <c r="DG63" s="740">
        <f t="shared" si="262"/>
        <v>0.16666666666666666</v>
      </c>
      <c r="DH63" s="740">
        <f t="shared" si="263"/>
        <v>0.66666666666666663</v>
      </c>
      <c r="DI63" s="740">
        <f t="shared" si="264"/>
        <v>0.16666666666666666</v>
      </c>
      <c r="DJ63" s="740">
        <f t="shared" si="265"/>
        <v>0.83333333333333337</v>
      </c>
      <c r="DK63" s="740">
        <f t="shared" si="266"/>
        <v>0.16666666666666666</v>
      </c>
      <c r="DL63" s="740">
        <f t="shared" si="267"/>
        <v>0.5</v>
      </c>
      <c r="DM63" s="740">
        <f t="shared" si="268"/>
        <v>0</v>
      </c>
      <c r="DN63" s="740">
        <f t="shared" si="269"/>
        <v>0</v>
      </c>
      <c r="DO63" s="740">
        <f t="shared" si="270"/>
        <v>0</v>
      </c>
      <c r="DP63" s="740">
        <f t="shared" si="271"/>
        <v>0</v>
      </c>
      <c r="DQ63" s="740">
        <f t="shared" si="272"/>
        <v>0</v>
      </c>
      <c r="DR63" s="742">
        <f t="shared" si="273"/>
        <v>0</v>
      </c>
    </row>
    <row r="64" spans="1:122" s="732" customFormat="1" ht="13.8" thickBot="1" x14ac:dyDescent="0.3">
      <c r="B64" s="730" t="str">
        <f>'Gårdens info'!C112</f>
        <v>Gödselblandare</v>
      </c>
      <c r="C64" s="733">
        <f>'Gårdens info'!D112</f>
        <v>700</v>
      </c>
      <c r="D64" s="734" t="s">
        <v>7</v>
      </c>
      <c r="E64" s="733">
        <f>'Gårdens info'!J112</f>
        <v>2008</v>
      </c>
      <c r="F64" s="751">
        <f>'Gårdens info'!G112</f>
        <v>1</v>
      </c>
      <c r="G64" s="752" t="s">
        <v>15</v>
      </c>
      <c r="H64" s="753">
        <v>10</v>
      </c>
      <c r="I64" s="730">
        <f t="shared" si="274"/>
        <v>700</v>
      </c>
      <c r="J64" s="735">
        <v>0</v>
      </c>
      <c r="K64" s="736">
        <v>0.05</v>
      </c>
      <c r="L64" s="738">
        <f>'Gårdens info'!$D$10/('Gårdens info'!$D$10+'Gårdens info'!$D$11+'Gårdens info'!$D$12+'Gårdens info'!$D$13+'Gårdens info'!$D$22+'Gårdens info'!$D$23+'Gårdens info'!$D$24+'Gårdens info'!$D$25+'Gårdens info'!$D$26+'Gårdens info'!$D$27+'Gårdens info'!$D$28)</f>
        <v>4.1666666666666664E-2</v>
      </c>
      <c r="M64" s="738">
        <f>'Gårdens info'!$D$11/('Gårdens info'!$D$10+'Gårdens info'!$D$11+'Gårdens info'!$D$12+'Gårdens info'!$D$13+'Gårdens info'!$D$22+'Gårdens info'!$D$23+'Gårdens info'!$D$24+'Gårdens info'!$D$25+'Gårdens info'!$D$26+'Gårdens info'!$D$27+'Gårdens info'!$D$28)</f>
        <v>4.1666666666666664E-2</v>
      </c>
      <c r="N64" s="738">
        <f>'Gårdens info'!$D$12/('Gårdens info'!$D$10+'Gårdens info'!$D$11+'Gårdens info'!$D$12+'Gårdens info'!$D$13+'Gårdens info'!$D$22+'Gårdens info'!$D$23+'Gårdens info'!$D$24+'Gårdens info'!$D$25+'Gårdens info'!$D$26+'Gårdens info'!$D$27+'Gårdens info'!$D$28)</f>
        <v>4.1666666666666664E-2</v>
      </c>
      <c r="O64" s="738">
        <f>'Gårdens info'!$D$13/('Gårdens info'!$D$10+'Gårdens info'!$D$11+'Gårdens info'!$D$12+'Gårdens info'!$D$13+'Gårdens info'!$D$22+'Gårdens info'!$D$23+'Gårdens info'!$D$24+'Gårdens info'!$D$25+'Gårdens info'!$D$26+'Gårdens info'!$D$27+'Gårdens info'!$D$28)</f>
        <v>4.1666666666666664E-2</v>
      </c>
      <c r="P64" s="738">
        <f>'Gårdens info'!$D$14/('Gårdens info'!$D$10+'Gårdens info'!$D$11+'Gårdens info'!$D$12+'Gårdens info'!$D$13+'Gårdens info'!$D$22+'Gårdens info'!$D$23+'Gårdens info'!$D$24+'Gårdens info'!$D$25+'Gårdens info'!$D$26+'Gårdens info'!$D$27+'Gårdens info'!$D$28)</f>
        <v>0</v>
      </c>
      <c r="Q64" s="738">
        <f>'Gårdens info'!$D$15/('Gårdens info'!$D$10+'Gårdens info'!$D$11+'Gårdens info'!$D$12+'Gårdens info'!$D$13+'Gårdens info'!$D$22+'Gårdens info'!$D$23+'Gårdens info'!$D$24+'Gårdens info'!$D$25+'Gårdens info'!$D$26+'Gårdens info'!$D$27+'Gårdens info'!$D$28)</f>
        <v>0</v>
      </c>
      <c r="R64" s="738">
        <f>'Gårdens info'!$D$16/('Gårdens info'!$D$10+'Gårdens info'!$D$11+'Gårdens info'!$D$12+'Gårdens info'!$D$13+'Gårdens info'!$D$22+'Gårdens info'!$D$23+'Gårdens info'!$D$24+'Gårdens info'!$D$25+'Gårdens info'!$D$26+'Gårdens info'!$D$27+'Gårdens info'!$D$28)</f>
        <v>0</v>
      </c>
      <c r="S64" s="738">
        <f>'Gårdens info'!$D$17/('Gårdens info'!$D$10+'Gårdens info'!$D$11+'Gårdens info'!$D$12+'Gårdens info'!$D$13+'Gårdens info'!$D$22+'Gårdens info'!$D$23+'Gårdens info'!$D$24+'Gårdens info'!$D$25+'Gårdens info'!$D$26+'Gårdens info'!$D$27+'Gårdens info'!$D$28)</f>
        <v>0</v>
      </c>
      <c r="T64" s="738">
        <f>'Gårdens info'!$D$18/('Gårdens info'!$D$10+'Gårdens info'!$D$11+'Gårdens info'!$D$12+'Gårdens info'!$D$13+'Gårdens info'!$D$22+'Gårdens info'!$D$23+'Gårdens info'!$D$24+'Gårdens info'!$D$25+'Gårdens info'!$D$26+'Gårdens info'!$D$27+'Gårdens info'!$D$28)</f>
        <v>0</v>
      </c>
      <c r="U64" s="738">
        <f>'Gårdens info'!$D$22/('Gårdens info'!$D$10+'Gårdens info'!$D$11+'Gårdens info'!$D$12+'Gårdens info'!$D$13+'Gårdens info'!$D$22+'Gårdens info'!$D$23+'Gårdens info'!$D$24+'Gårdens info'!$D$25+'Gårdens info'!$D$26+'Gårdens info'!$D$27+'Gårdens info'!$D$28)</f>
        <v>0.20833333333333334</v>
      </c>
      <c r="V64" s="738">
        <f>'Gårdens info'!$D$23/('Gårdens info'!$D$10+'Gårdens info'!$D$11+'Gårdens info'!$D$12+'Gårdens info'!$D$13+'Gårdens info'!$D$22+'Gårdens info'!$D$23+'Gårdens info'!$D$24+'Gårdens info'!$D$25+'Gårdens info'!$D$26+'Gårdens info'!$D$27+'Gårdens info'!$D$28)</f>
        <v>4.1666666666666664E-2</v>
      </c>
      <c r="W64" s="738">
        <f>'Gårdens info'!$D$24/('Gårdens info'!$D$10+'Gårdens info'!$D$11+'Gårdens info'!$D$12+'Gårdens info'!$D$13+'Gårdens info'!$D$22+'Gårdens info'!$D$23+'Gårdens info'!$D$24+'Gårdens info'!$D$25+'Gårdens info'!$D$26+'Gårdens info'!$D$27+'Gårdens info'!$D$28)</f>
        <v>0.16666666666666666</v>
      </c>
      <c r="X64" s="738">
        <f>'Gårdens info'!$D$25/('Gårdens info'!$D$10+'Gårdens info'!$D$11+'Gårdens info'!$D$12+'Gårdens info'!$D$13+'Gårdens info'!$D$22+'Gårdens info'!$D$23+'Gårdens info'!$D$24+'Gårdens info'!$D$25+'Gårdens info'!$D$26+'Gårdens info'!$D$27+'Gårdens info'!$D$28)</f>
        <v>4.1666666666666664E-2</v>
      </c>
      <c r="Y64" s="738">
        <f>'Gårdens info'!$D$26/('Gårdens info'!$D$10+'Gårdens info'!$D$11+'Gårdens info'!$D$12+'Gårdens info'!$D$13+'Gårdens info'!$D$22+'Gårdens info'!$D$23+'Gårdens info'!$D$24+'Gårdens info'!$D$25+'Gårdens info'!$D$26+'Gårdens info'!$D$27+'Gårdens info'!$D$28)</f>
        <v>0.20833333333333334</v>
      </c>
      <c r="Z64" s="738">
        <f>'Gårdens info'!$D$27/('Gårdens info'!$D$10+'Gårdens info'!$D$11+'Gårdens info'!$D$12+'Gårdens info'!$D$13+'Gårdens info'!$D$22+'Gårdens info'!$D$23+'Gårdens info'!$D$24+'Gårdens info'!$D$25+'Gårdens info'!$D$26+'Gårdens info'!$D$27+'Gårdens info'!$D$28)</f>
        <v>4.1666666666666664E-2</v>
      </c>
      <c r="AA64" s="738">
        <f>'Gårdens info'!$D$28/('Gårdens info'!$D$10+'Gårdens info'!$D$11+'Gårdens info'!$D$12+'Gårdens info'!$D$13+'Gårdens info'!$D$22+'Gårdens info'!$D$23+'Gårdens info'!$D$24+'Gårdens info'!$D$25+'Gårdens info'!$D$26+'Gårdens info'!$D$27+'Gårdens info'!$D$28)</f>
        <v>0.125</v>
      </c>
      <c r="AB64" s="738">
        <v>0</v>
      </c>
      <c r="AC64" s="738">
        <v>0</v>
      </c>
      <c r="AD64" s="738">
        <v>0</v>
      </c>
      <c r="AE64" s="738">
        <v>0</v>
      </c>
      <c r="AF64" s="738">
        <v>0</v>
      </c>
      <c r="AG64" s="738">
        <v>0</v>
      </c>
      <c r="AH64" s="743">
        <f t="shared" si="205"/>
        <v>1</v>
      </c>
      <c r="AI64" s="741">
        <f t="shared" si="206"/>
        <v>0</v>
      </c>
      <c r="AJ64" s="740">
        <f t="shared" si="207"/>
        <v>0</v>
      </c>
      <c r="AK64" s="740">
        <f t="shared" si="208"/>
        <v>0</v>
      </c>
      <c r="AL64" s="740">
        <f t="shared" si="209"/>
        <v>0</v>
      </c>
      <c r="AM64" s="740">
        <f t="shared" si="197"/>
        <v>0</v>
      </c>
      <c r="AN64" s="740">
        <f t="shared" si="197"/>
        <v>0</v>
      </c>
      <c r="AO64" s="740">
        <f t="shared" si="197"/>
        <v>0</v>
      </c>
      <c r="AP64" s="740">
        <f t="shared" si="197"/>
        <v>0</v>
      </c>
      <c r="AQ64" s="740">
        <f t="shared" si="197"/>
        <v>0</v>
      </c>
      <c r="AR64" s="740">
        <f t="shared" si="210"/>
        <v>0</v>
      </c>
      <c r="AS64" s="740">
        <f t="shared" si="211"/>
        <v>0</v>
      </c>
      <c r="AT64" s="740">
        <f t="shared" si="212"/>
        <v>0</v>
      </c>
      <c r="AU64" s="740">
        <f t="shared" si="213"/>
        <v>0</v>
      </c>
      <c r="AV64" s="740">
        <f t="shared" si="214"/>
        <v>0</v>
      </c>
      <c r="AW64" s="740">
        <f t="shared" si="215"/>
        <v>0</v>
      </c>
      <c r="AX64" s="740">
        <f t="shared" si="216"/>
        <v>0</v>
      </c>
      <c r="AY64" s="740">
        <f t="shared" si="217"/>
        <v>0</v>
      </c>
      <c r="AZ64" s="740">
        <f t="shared" si="218"/>
        <v>0</v>
      </c>
      <c r="BA64" s="740">
        <f t="shared" si="219"/>
        <v>0</v>
      </c>
      <c r="BB64" s="740">
        <f t="shared" si="220"/>
        <v>0</v>
      </c>
      <c r="BC64" s="740">
        <f t="shared" si="221"/>
        <v>0</v>
      </c>
      <c r="BD64" s="740">
        <f t="shared" si="222"/>
        <v>0</v>
      </c>
      <c r="BE64" s="741">
        <f t="shared" si="223"/>
        <v>0</v>
      </c>
      <c r="BF64" s="740">
        <f t="shared" si="224"/>
        <v>0</v>
      </c>
      <c r="BG64" s="740">
        <f t="shared" si="225"/>
        <v>0</v>
      </c>
      <c r="BH64" s="740">
        <f t="shared" si="226"/>
        <v>0</v>
      </c>
      <c r="BI64" s="740">
        <f t="shared" si="199"/>
        <v>0</v>
      </c>
      <c r="BJ64" s="740">
        <f t="shared" si="199"/>
        <v>0</v>
      </c>
      <c r="BK64" s="740">
        <f t="shared" si="199"/>
        <v>0</v>
      </c>
      <c r="BL64" s="740">
        <f t="shared" si="199"/>
        <v>0</v>
      </c>
      <c r="BM64" s="740">
        <f t="shared" si="199"/>
        <v>0</v>
      </c>
      <c r="BN64" s="740">
        <f t="shared" si="227"/>
        <v>0</v>
      </c>
      <c r="BO64" s="740">
        <f t="shared" si="228"/>
        <v>0</v>
      </c>
      <c r="BP64" s="740">
        <f t="shared" si="229"/>
        <v>0</v>
      </c>
      <c r="BQ64" s="740">
        <f t="shared" si="230"/>
        <v>0</v>
      </c>
      <c r="BR64" s="740">
        <f t="shared" si="231"/>
        <v>0</v>
      </c>
      <c r="BS64" s="740">
        <f t="shared" si="232"/>
        <v>0</v>
      </c>
      <c r="BT64" s="740">
        <f t="shared" si="233"/>
        <v>0</v>
      </c>
      <c r="BU64" s="740">
        <f t="shared" si="234"/>
        <v>0</v>
      </c>
      <c r="BV64" s="740">
        <f t="shared" si="235"/>
        <v>0</v>
      </c>
      <c r="BW64" s="740">
        <f t="shared" si="236"/>
        <v>0</v>
      </c>
      <c r="BX64" s="740">
        <f t="shared" si="237"/>
        <v>0</v>
      </c>
      <c r="BY64" s="740">
        <f t="shared" si="238"/>
        <v>0</v>
      </c>
      <c r="BZ64" s="740">
        <f t="shared" si="239"/>
        <v>0</v>
      </c>
      <c r="CA64" s="741">
        <f t="shared" si="240"/>
        <v>1.4583333333333333</v>
      </c>
      <c r="CB64" s="740">
        <f t="shared" si="241"/>
        <v>1.4583333333333333</v>
      </c>
      <c r="CC64" s="740">
        <f t="shared" si="242"/>
        <v>1.4583333333333333</v>
      </c>
      <c r="CD64" s="740">
        <f t="shared" si="243"/>
        <v>1.4583333333333333</v>
      </c>
      <c r="CE64" s="740">
        <f t="shared" si="201"/>
        <v>0</v>
      </c>
      <c r="CF64" s="740">
        <f t="shared" si="201"/>
        <v>0</v>
      </c>
      <c r="CG64" s="740">
        <f t="shared" si="201"/>
        <v>0</v>
      </c>
      <c r="CH64" s="740">
        <f t="shared" si="201"/>
        <v>0</v>
      </c>
      <c r="CI64" s="740">
        <f t="shared" si="201"/>
        <v>0</v>
      </c>
      <c r="CJ64" s="740">
        <f t="shared" si="244"/>
        <v>7.291666666666667</v>
      </c>
      <c r="CK64" s="740">
        <f t="shared" si="245"/>
        <v>1.4583333333333333</v>
      </c>
      <c r="CL64" s="740">
        <f t="shared" si="246"/>
        <v>5.833333333333333</v>
      </c>
      <c r="CM64" s="740">
        <f t="shared" si="247"/>
        <v>1.4583333333333333</v>
      </c>
      <c r="CN64" s="740">
        <f t="shared" si="248"/>
        <v>7.291666666666667</v>
      </c>
      <c r="CO64" s="740">
        <f t="shared" si="249"/>
        <v>1.4583333333333333</v>
      </c>
      <c r="CP64" s="740">
        <f t="shared" si="250"/>
        <v>4.375</v>
      </c>
      <c r="CQ64" s="740">
        <f t="shared" si="251"/>
        <v>0</v>
      </c>
      <c r="CR64" s="740">
        <f t="shared" si="252"/>
        <v>0</v>
      </c>
      <c r="CS64" s="740">
        <f t="shared" si="253"/>
        <v>0</v>
      </c>
      <c r="CT64" s="740">
        <f t="shared" si="254"/>
        <v>0</v>
      </c>
      <c r="CU64" s="740">
        <f t="shared" si="255"/>
        <v>0</v>
      </c>
      <c r="CV64" s="740">
        <f t="shared" si="256"/>
        <v>0</v>
      </c>
      <c r="CW64" s="741">
        <f t="shared" si="257"/>
        <v>5.8333333333333334E-2</v>
      </c>
      <c r="CX64" s="740">
        <f t="shared" si="258"/>
        <v>5.8333333333333334E-2</v>
      </c>
      <c r="CY64" s="740">
        <f t="shared" si="259"/>
        <v>5.8333333333333334E-2</v>
      </c>
      <c r="CZ64" s="740">
        <f t="shared" si="260"/>
        <v>5.8333333333333334E-2</v>
      </c>
      <c r="DA64" s="740">
        <f t="shared" si="203"/>
        <v>0</v>
      </c>
      <c r="DB64" s="740">
        <f t="shared" si="203"/>
        <v>0</v>
      </c>
      <c r="DC64" s="740">
        <f t="shared" si="203"/>
        <v>0</v>
      </c>
      <c r="DD64" s="740">
        <f t="shared" si="203"/>
        <v>0</v>
      </c>
      <c r="DE64" s="740">
        <f t="shared" si="203"/>
        <v>0</v>
      </c>
      <c r="DF64" s="740">
        <f t="shared" si="261"/>
        <v>0.29166666666666669</v>
      </c>
      <c r="DG64" s="740">
        <f t="shared" si="262"/>
        <v>5.8333333333333334E-2</v>
      </c>
      <c r="DH64" s="740">
        <f t="shared" si="263"/>
        <v>0.23333333333333334</v>
      </c>
      <c r="DI64" s="740">
        <f t="shared" si="264"/>
        <v>5.8333333333333334E-2</v>
      </c>
      <c r="DJ64" s="740">
        <f t="shared" si="265"/>
        <v>0.29166666666666669</v>
      </c>
      <c r="DK64" s="740">
        <f t="shared" si="266"/>
        <v>5.8333333333333334E-2</v>
      </c>
      <c r="DL64" s="740">
        <f t="shared" si="267"/>
        <v>0.17500000000000002</v>
      </c>
      <c r="DM64" s="740">
        <f t="shared" si="268"/>
        <v>0</v>
      </c>
      <c r="DN64" s="740">
        <f t="shared" si="269"/>
        <v>0</v>
      </c>
      <c r="DO64" s="740">
        <f t="shared" si="270"/>
        <v>0</v>
      </c>
      <c r="DP64" s="740">
        <f t="shared" si="271"/>
        <v>0</v>
      </c>
      <c r="DQ64" s="740">
        <f t="shared" si="272"/>
        <v>0</v>
      </c>
      <c r="DR64" s="742">
        <f t="shared" si="273"/>
        <v>0</v>
      </c>
    </row>
    <row r="65" spans="1:122" s="732" customFormat="1" ht="13.8" thickBot="1" x14ac:dyDescent="0.3">
      <c r="B65" s="730" t="str">
        <f>'Gårdens info'!C113</f>
        <v>Fiberdukar 17 g/m2</v>
      </c>
      <c r="C65" s="733">
        <f>'Gårdens info'!D113</f>
        <v>800</v>
      </c>
      <c r="D65" s="734" t="s">
        <v>14</v>
      </c>
      <c r="E65" s="733">
        <f>'Gårdens info'!J113</f>
        <v>2018</v>
      </c>
      <c r="F65" s="751">
        <f>'Gårdens info'!G113</f>
        <v>5</v>
      </c>
      <c r="G65" s="752" t="s">
        <v>15</v>
      </c>
      <c r="H65" s="753">
        <v>4</v>
      </c>
      <c r="I65" s="732">
        <f t="shared" si="274"/>
        <v>4000</v>
      </c>
      <c r="J65" s="735">
        <v>0</v>
      </c>
      <c r="K65" s="736">
        <v>0.05</v>
      </c>
      <c r="L65" s="738">
        <f>'Gårdens info'!$D$10/('Gårdens info'!$D$10+'Gårdens info'!$D$11+'Gårdens info'!$D$12+'Gårdens info'!$D$13+'Gårdens info'!$D$14+'Gårdens info'!$D$15+'Gårdens info'!$D$16+'Gårdens info'!$D$17+'Gårdens info'!$D$18+'Gårdens info'!$D$22+'Gårdens info'!$D$23+'Gårdens info'!$D$24+'Gårdens info'!$D$25+'Gårdens info'!$D$26+'Gårdens info'!$D$27)</f>
        <v>4.7619047619047616E-2</v>
      </c>
      <c r="M65" s="738">
        <f>'Gårdens info'!$D$11/('Gårdens info'!$D$10+'Gårdens info'!$D$11+'Gårdens info'!$D$12+'Gårdens info'!$D$13+'Gårdens info'!$D$14+'Gårdens info'!$D$15+'Gårdens info'!$D$16+'Gårdens info'!$D$17+'Gårdens info'!$D$18+'Gårdens info'!$D$22+'Gårdens info'!$D$23+'Gårdens info'!$D$24+'Gårdens info'!$D$25+'Gårdens info'!$D$26+'Gårdens info'!$D$27)</f>
        <v>4.7619047619047616E-2</v>
      </c>
      <c r="N65" s="738">
        <f>'Gårdens info'!$D$12/('Gårdens info'!$D$10+'Gårdens info'!$D$11+'Gårdens info'!$D$12+'Gårdens info'!$D$13+'Gårdens info'!$D$14+'Gårdens info'!$D$15+'Gårdens info'!$D$16+'Gårdens info'!$D$17+'Gårdens info'!$D$18+'Gårdens info'!$D$22+'Gårdens info'!$D$23+'Gårdens info'!$D$24+'Gårdens info'!$D$25+'Gårdens info'!$D$26+'Gårdens info'!$D$27)</f>
        <v>4.7619047619047616E-2</v>
      </c>
      <c r="O65" s="738">
        <f>'Gårdens info'!$D$13/('Gårdens info'!$D$10+'Gårdens info'!$D$11+'Gårdens info'!$D$12+'Gårdens info'!$D$13+'Gårdens info'!$D$14+'Gårdens info'!$D$15+'Gårdens info'!$D$16+'Gårdens info'!$D$17+'Gårdens info'!$D$18+'Gårdens info'!$D$22+'Gårdens info'!$D$23+'Gårdens info'!$D$24+'Gårdens info'!$D$25+'Gårdens info'!$D$26+'Gårdens info'!$D$27)</f>
        <v>4.7619047619047616E-2</v>
      </c>
      <c r="P65" s="738">
        <f>'Gårdens info'!$D$14/('Gårdens info'!$D$10+'Gårdens info'!$D$11+'Gårdens info'!$D$12+'Gårdens info'!$D$13+'Gårdens info'!$D$14+'Gårdens info'!$D$15+'Gårdens info'!$D$16+'Gårdens info'!$D$17+'Gårdens info'!$D$18+'Gårdens info'!$D$22+'Gårdens info'!$D$23+'Gårdens info'!$D$24+'Gårdens info'!$D$25+'Gårdens info'!$D$26+'Gårdens info'!$D$27)</f>
        <v>0</v>
      </c>
      <c r="Q65" s="738">
        <f>'Gårdens info'!$D$15/('Gårdens info'!$D$10+'Gårdens info'!$D$11+'Gårdens info'!$D$12+'Gårdens info'!$D$13+'Gårdens info'!$D$14+'Gårdens info'!$D$15+'Gårdens info'!$D$16+'Gårdens info'!$D$17+'Gårdens info'!$D$18+'Gårdens info'!$D$22+'Gårdens info'!$D$23+'Gårdens info'!$D$24+'Gårdens info'!$D$25+'Gårdens info'!$D$26+'Gårdens info'!$D$27)</f>
        <v>0</v>
      </c>
      <c r="R65" s="738">
        <f>'Gårdens info'!$D$16/('Gårdens info'!$D$10+'Gårdens info'!$D$11+'Gårdens info'!$D$12+'Gårdens info'!$D$13+'Gårdens info'!$D$14+'Gårdens info'!$D$15+'Gårdens info'!$D$16+'Gårdens info'!$D$17+'Gårdens info'!$D$18+'Gårdens info'!$D$22+'Gårdens info'!$D$23+'Gårdens info'!$D$24+'Gårdens info'!$D$25+'Gårdens info'!$D$26+'Gårdens info'!$D$27)</f>
        <v>0</v>
      </c>
      <c r="S65" s="738">
        <f>'Gårdens info'!$D$17/('Gårdens info'!$D$10+'Gårdens info'!$D$11+'Gårdens info'!$D$12+'Gårdens info'!$D$13+'Gårdens info'!$D$14+'Gårdens info'!$D$15+'Gårdens info'!$D$16+'Gårdens info'!$D$17+'Gårdens info'!$D$18+'Gårdens info'!$D$22+'Gårdens info'!$D$23+'Gårdens info'!$D$24+'Gårdens info'!$D$25+'Gårdens info'!$D$26+'Gårdens info'!$D$27)</f>
        <v>0</v>
      </c>
      <c r="T65" s="738">
        <f>'Gårdens info'!$D$18/('Gårdens info'!$D$10+'Gårdens info'!$D$11+'Gårdens info'!$D$12+'Gårdens info'!$D$13+'Gårdens info'!$D$14+'Gårdens info'!$D$15+'Gårdens info'!$D$16+'Gårdens info'!$D$17+'Gårdens info'!$D$18+'Gårdens info'!$D$22+'Gårdens info'!$D$23+'Gårdens info'!$D$24+'Gårdens info'!$D$25+'Gårdens info'!$D$26+'Gårdens info'!$D$27)</f>
        <v>0</v>
      </c>
      <c r="U65" s="738">
        <f>'Gårdens info'!$D$22/('Gårdens info'!$D$10+'Gårdens info'!$D$11+'Gårdens info'!$D$12+'Gårdens info'!$D$13+'Gårdens info'!$D$14+'Gårdens info'!$D$15+'Gårdens info'!$D$16+'Gårdens info'!$D$17+'Gårdens info'!$D$18+'Gårdens info'!$D$22+'Gårdens info'!$D$23+'Gårdens info'!$D$24+'Gårdens info'!$D$25+'Gårdens info'!$D$26+'Gårdens info'!$D$27)</f>
        <v>0.23809523809523808</v>
      </c>
      <c r="V65" s="738">
        <f>'Gårdens info'!$D$23/('Gårdens info'!$D$10+'Gårdens info'!$D$11+'Gårdens info'!$D$12+'Gårdens info'!$D$13+'Gårdens info'!$D$22+'Gårdens info'!$D$23+'Gårdens info'!$D$24+'Gårdens info'!$D$25+'Gårdens info'!$D$26+'Gårdens info'!$D$27)</f>
        <v>4.7619047619047616E-2</v>
      </c>
      <c r="W65" s="738">
        <f>'Gårdens info'!$D$24/('Gårdens info'!$D$10+'Gårdens info'!$D$11+'Gårdens info'!$D$12+'Gårdens info'!$D$13+'Gårdens info'!$D$22+'Gårdens info'!$D$23+'Gårdens info'!$D$24+'Gårdens info'!$D$25+'Gårdens info'!$D$26+'Gårdens info'!$D$27)</f>
        <v>0.19047619047619047</v>
      </c>
      <c r="X65" s="738">
        <f>'Gårdens info'!$D$25/('Gårdens info'!$D$10+'Gårdens info'!$D$11+'Gårdens info'!$D$12+'Gårdens info'!$D$13+'Gårdens info'!$D$22+'Gårdens info'!$D$23+'Gårdens info'!$D$24+'Gårdens info'!$D$25+'Gårdens info'!$D$26+'Gårdens info'!$D$27)</f>
        <v>4.7619047619047616E-2</v>
      </c>
      <c r="Y65" s="738">
        <f>'Gårdens info'!$D$26/('Gårdens info'!$D$10+'Gårdens info'!$D$11+'Gårdens info'!$D$12+'Gårdens info'!$D$13+'Gårdens info'!$D$22+'Gårdens info'!$D$23+'Gårdens info'!$D$24+'Gårdens info'!$D$25+'Gårdens info'!$D$26+'Gårdens info'!$D$27)</f>
        <v>0.23809523809523808</v>
      </c>
      <c r="Z65" s="738">
        <f>'Gårdens info'!$D$27/('Gårdens info'!$D$10+'Gårdens info'!$D$11+'Gårdens info'!$D$12+'Gårdens info'!$D$13+'Gårdens info'!$D$22+'Gårdens info'!$D$23+'Gårdens info'!$D$24+'Gårdens info'!$D$25+'Gårdens info'!$D$26+'Gårdens info'!$D$27)</f>
        <v>4.7619047619047616E-2</v>
      </c>
      <c r="AA65" s="738">
        <v>0</v>
      </c>
      <c r="AB65" s="738">
        <v>0</v>
      </c>
      <c r="AC65" s="738">
        <v>0</v>
      </c>
      <c r="AD65" s="738">
        <v>0</v>
      </c>
      <c r="AE65" s="738">
        <v>0</v>
      </c>
      <c r="AF65" s="738">
        <v>0</v>
      </c>
      <c r="AG65" s="738">
        <v>0</v>
      </c>
      <c r="AH65" s="743">
        <f t="shared" si="205"/>
        <v>1</v>
      </c>
      <c r="AI65" s="741">
        <f t="shared" si="206"/>
        <v>47.619047619047613</v>
      </c>
      <c r="AJ65" s="740">
        <f t="shared" si="207"/>
        <v>47.619047619047613</v>
      </c>
      <c r="AK65" s="740">
        <f t="shared" si="208"/>
        <v>47.619047619047613</v>
      </c>
      <c r="AL65" s="740">
        <f t="shared" si="209"/>
        <v>47.619047619047613</v>
      </c>
      <c r="AM65" s="740">
        <f t="shared" si="197"/>
        <v>0</v>
      </c>
      <c r="AN65" s="740">
        <f t="shared" si="197"/>
        <v>0</v>
      </c>
      <c r="AO65" s="740">
        <f t="shared" si="197"/>
        <v>0</v>
      </c>
      <c r="AP65" s="740">
        <f t="shared" si="197"/>
        <v>0</v>
      </c>
      <c r="AQ65" s="740">
        <f t="shared" si="197"/>
        <v>0</v>
      </c>
      <c r="AR65" s="740">
        <f t="shared" si="210"/>
        <v>238.09523809523807</v>
      </c>
      <c r="AS65" s="740">
        <f t="shared" si="211"/>
        <v>47.619047619047613</v>
      </c>
      <c r="AT65" s="740">
        <f t="shared" si="212"/>
        <v>190.47619047619045</v>
      </c>
      <c r="AU65" s="740">
        <f t="shared" si="213"/>
        <v>47.619047619047613</v>
      </c>
      <c r="AV65" s="740">
        <f t="shared" si="214"/>
        <v>238.09523809523807</v>
      </c>
      <c r="AW65" s="740">
        <f t="shared" si="215"/>
        <v>47.619047619047613</v>
      </c>
      <c r="AX65" s="740">
        <f t="shared" si="216"/>
        <v>0</v>
      </c>
      <c r="AY65" s="740">
        <f t="shared" si="217"/>
        <v>0</v>
      </c>
      <c r="AZ65" s="740">
        <f t="shared" si="218"/>
        <v>0</v>
      </c>
      <c r="BA65" s="740">
        <f t="shared" si="219"/>
        <v>0</v>
      </c>
      <c r="BB65" s="740">
        <f t="shared" si="220"/>
        <v>0</v>
      </c>
      <c r="BC65" s="740">
        <f t="shared" si="221"/>
        <v>0</v>
      </c>
      <c r="BD65" s="740">
        <f t="shared" si="222"/>
        <v>0</v>
      </c>
      <c r="BE65" s="741">
        <f t="shared" si="223"/>
        <v>4.7619047619047619</v>
      </c>
      <c r="BF65" s="740">
        <f t="shared" si="224"/>
        <v>4.7619047619047619</v>
      </c>
      <c r="BG65" s="740">
        <f t="shared" si="225"/>
        <v>4.7619047619047619</v>
      </c>
      <c r="BH65" s="740">
        <f t="shared" si="226"/>
        <v>4.7619047619047619</v>
      </c>
      <c r="BI65" s="740">
        <f t="shared" si="199"/>
        <v>0</v>
      </c>
      <c r="BJ65" s="740">
        <f t="shared" si="199"/>
        <v>0</v>
      </c>
      <c r="BK65" s="740">
        <f t="shared" si="199"/>
        <v>0</v>
      </c>
      <c r="BL65" s="740">
        <f t="shared" si="199"/>
        <v>0</v>
      </c>
      <c r="BM65" s="740">
        <f t="shared" si="199"/>
        <v>0</v>
      </c>
      <c r="BN65" s="740">
        <f t="shared" si="227"/>
        <v>23.809523809523807</v>
      </c>
      <c r="BO65" s="740">
        <f t="shared" si="228"/>
        <v>4.7619047619047619</v>
      </c>
      <c r="BP65" s="740">
        <f t="shared" si="229"/>
        <v>19.047619047619047</v>
      </c>
      <c r="BQ65" s="740">
        <f t="shared" si="230"/>
        <v>4.7619047619047619</v>
      </c>
      <c r="BR65" s="740">
        <f t="shared" si="231"/>
        <v>23.809523809523807</v>
      </c>
      <c r="BS65" s="740">
        <f t="shared" si="232"/>
        <v>4.7619047619047619</v>
      </c>
      <c r="BT65" s="740">
        <f t="shared" si="233"/>
        <v>0</v>
      </c>
      <c r="BU65" s="740">
        <f t="shared" si="234"/>
        <v>0</v>
      </c>
      <c r="BV65" s="740">
        <f t="shared" si="235"/>
        <v>0</v>
      </c>
      <c r="BW65" s="740">
        <f t="shared" si="236"/>
        <v>0</v>
      </c>
      <c r="BX65" s="740">
        <f t="shared" si="237"/>
        <v>0</v>
      </c>
      <c r="BY65" s="740">
        <f t="shared" si="238"/>
        <v>0</v>
      </c>
      <c r="BZ65" s="740">
        <f t="shared" si="239"/>
        <v>0</v>
      </c>
      <c r="CA65" s="741">
        <f t="shared" si="240"/>
        <v>9.5238095238095237</v>
      </c>
      <c r="CB65" s="740">
        <f t="shared" si="241"/>
        <v>9.5238095238095237</v>
      </c>
      <c r="CC65" s="740">
        <f t="shared" si="242"/>
        <v>9.5238095238095237</v>
      </c>
      <c r="CD65" s="740">
        <f t="shared" si="243"/>
        <v>9.5238095238095237</v>
      </c>
      <c r="CE65" s="740">
        <f t="shared" si="201"/>
        <v>0</v>
      </c>
      <c r="CF65" s="740">
        <f t="shared" si="201"/>
        <v>0</v>
      </c>
      <c r="CG65" s="740">
        <f t="shared" si="201"/>
        <v>0</v>
      </c>
      <c r="CH65" s="740">
        <f t="shared" si="201"/>
        <v>0</v>
      </c>
      <c r="CI65" s="740">
        <f t="shared" si="201"/>
        <v>0</v>
      </c>
      <c r="CJ65" s="740">
        <f t="shared" si="244"/>
        <v>47.619047619047613</v>
      </c>
      <c r="CK65" s="740">
        <f t="shared" si="245"/>
        <v>9.5238095238095237</v>
      </c>
      <c r="CL65" s="740">
        <f t="shared" si="246"/>
        <v>38.095238095238095</v>
      </c>
      <c r="CM65" s="740">
        <f t="shared" si="247"/>
        <v>9.5238095238095237</v>
      </c>
      <c r="CN65" s="740">
        <f t="shared" si="248"/>
        <v>47.619047619047613</v>
      </c>
      <c r="CO65" s="740">
        <f t="shared" si="249"/>
        <v>9.5238095238095237</v>
      </c>
      <c r="CP65" s="740">
        <f t="shared" si="250"/>
        <v>0</v>
      </c>
      <c r="CQ65" s="740">
        <f t="shared" si="251"/>
        <v>0</v>
      </c>
      <c r="CR65" s="740">
        <f t="shared" si="252"/>
        <v>0</v>
      </c>
      <c r="CS65" s="740">
        <f t="shared" si="253"/>
        <v>0</v>
      </c>
      <c r="CT65" s="740">
        <f t="shared" si="254"/>
        <v>0</v>
      </c>
      <c r="CU65" s="740">
        <f t="shared" si="255"/>
        <v>0</v>
      </c>
      <c r="CV65" s="740">
        <f t="shared" si="256"/>
        <v>0</v>
      </c>
      <c r="CW65" s="741">
        <f t="shared" si="257"/>
        <v>0.38095238095238093</v>
      </c>
      <c r="CX65" s="740">
        <f t="shared" si="258"/>
        <v>0.38095238095238093</v>
      </c>
      <c r="CY65" s="740">
        <f t="shared" si="259"/>
        <v>0.38095238095238093</v>
      </c>
      <c r="CZ65" s="740">
        <f t="shared" si="260"/>
        <v>0.38095238095238093</v>
      </c>
      <c r="DA65" s="740">
        <f t="shared" si="203"/>
        <v>0</v>
      </c>
      <c r="DB65" s="740">
        <f t="shared" si="203"/>
        <v>0</v>
      </c>
      <c r="DC65" s="740">
        <f t="shared" si="203"/>
        <v>0</v>
      </c>
      <c r="DD65" s="740">
        <f t="shared" si="203"/>
        <v>0</v>
      </c>
      <c r="DE65" s="740">
        <f t="shared" si="203"/>
        <v>0</v>
      </c>
      <c r="DF65" s="740">
        <f t="shared" si="261"/>
        <v>1.9047619047619047</v>
      </c>
      <c r="DG65" s="740">
        <f t="shared" si="262"/>
        <v>0.38095238095238093</v>
      </c>
      <c r="DH65" s="740">
        <f t="shared" si="263"/>
        <v>1.5238095238095237</v>
      </c>
      <c r="DI65" s="740">
        <f t="shared" si="264"/>
        <v>0.38095238095238093</v>
      </c>
      <c r="DJ65" s="740">
        <f t="shared" si="265"/>
        <v>1.9047619047619047</v>
      </c>
      <c r="DK65" s="740">
        <f t="shared" si="266"/>
        <v>0.38095238095238093</v>
      </c>
      <c r="DL65" s="740">
        <f t="shared" si="267"/>
        <v>0</v>
      </c>
      <c r="DM65" s="740">
        <f t="shared" si="268"/>
        <v>0</v>
      </c>
      <c r="DN65" s="740">
        <f t="shared" si="269"/>
        <v>0</v>
      </c>
      <c r="DO65" s="740">
        <f t="shared" si="270"/>
        <v>0</v>
      </c>
      <c r="DP65" s="740">
        <f t="shared" si="271"/>
        <v>0</v>
      </c>
      <c r="DQ65" s="740">
        <f t="shared" si="272"/>
        <v>0</v>
      </c>
      <c r="DR65" s="742">
        <f t="shared" si="273"/>
        <v>0</v>
      </c>
    </row>
    <row r="66" spans="1:122" s="732" customFormat="1" ht="13.8" thickBot="1" x14ac:dyDescent="0.3">
      <c r="B66" s="730" t="str">
        <f>'Gårdens info'!C114</f>
        <v>Vinter fiberdukar 23 g/m2, talvisuojaus</v>
      </c>
      <c r="C66" s="733">
        <f>'Gårdens info'!D114</f>
        <v>1100</v>
      </c>
      <c r="D66" s="734" t="s">
        <v>14</v>
      </c>
      <c r="E66" s="733">
        <f>'Gårdens info'!J114</f>
        <v>2019</v>
      </c>
      <c r="F66" s="751">
        <f>'Gårdens info'!G114</f>
        <v>5</v>
      </c>
      <c r="G66" s="752" t="s">
        <v>15</v>
      </c>
      <c r="H66" s="753">
        <v>4</v>
      </c>
      <c r="I66" s="732">
        <f t="shared" si="274"/>
        <v>5500</v>
      </c>
      <c r="J66" s="735">
        <v>0</v>
      </c>
      <c r="K66" s="736">
        <v>0.05</v>
      </c>
      <c r="L66" s="737">
        <v>0</v>
      </c>
      <c r="M66" s="738">
        <v>0</v>
      </c>
      <c r="N66" s="738">
        <v>0</v>
      </c>
      <c r="O66" s="738">
        <v>0</v>
      </c>
      <c r="P66" s="738">
        <v>0</v>
      </c>
      <c r="Q66" s="738">
        <v>0</v>
      </c>
      <c r="R66" s="738">
        <v>0</v>
      </c>
      <c r="S66" s="738">
        <v>0</v>
      </c>
      <c r="T66" s="738">
        <v>0</v>
      </c>
      <c r="U66" s="738">
        <f>'Gårdens info'!$D$22/('Gårdens info'!$D$22+'Gårdens info'!$D$23+'Gårdens info'!$D$24+'Gårdens info'!$D$25)</f>
        <v>0.45454545454545453</v>
      </c>
      <c r="V66" s="738">
        <f>'Gårdens info'!$D$23/('Gårdens info'!$D$22+'Gårdens info'!$D$23+'Gårdens info'!$D$24+'Gårdens info'!$D$25)</f>
        <v>9.0909090909090912E-2</v>
      </c>
      <c r="W66" s="738">
        <f>'Gårdens info'!$D$24/('Gårdens info'!$D$22+'Gårdens info'!$D$23+'Gårdens info'!$D$24+'Gårdens info'!$D$25)</f>
        <v>0.36363636363636365</v>
      </c>
      <c r="X66" s="738">
        <f>'Gårdens info'!$D$25/('Gårdens info'!$D$22+'Gårdens info'!$D$23+'Gårdens info'!$D$24+'Gårdens info'!$D$25)</f>
        <v>9.0909090909090912E-2</v>
      </c>
      <c r="Y66" s="738">
        <v>0</v>
      </c>
      <c r="Z66" s="738">
        <v>0</v>
      </c>
      <c r="AA66" s="738">
        <v>0</v>
      </c>
      <c r="AB66" s="738">
        <v>0</v>
      </c>
      <c r="AC66" s="738">
        <v>0</v>
      </c>
      <c r="AD66" s="738">
        <v>0</v>
      </c>
      <c r="AE66" s="738">
        <v>0</v>
      </c>
      <c r="AF66" s="738">
        <v>0</v>
      </c>
      <c r="AG66" s="738">
        <v>0</v>
      </c>
      <c r="AH66" s="743">
        <f t="shared" si="205"/>
        <v>1</v>
      </c>
      <c r="AI66" s="741">
        <f t="shared" si="206"/>
        <v>0</v>
      </c>
      <c r="AJ66" s="740">
        <f t="shared" si="207"/>
        <v>0</v>
      </c>
      <c r="AK66" s="740">
        <f t="shared" si="208"/>
        <v>0</v>
      </c>
      <c r="AL66" s="740">
        <f t="shared" si="209"/>
        <v>0</v>
      </c>
      <c r="AM66" s="740">
        <f t="shared" si="197"/>
        <v>0</v>
      </c>
      <c r="AN66" s="740">
        <f t="shared" si="197"/>
        <v>0</v>
      </c>
      <c r="AO66" s="740">
        <f t="shared" si="197"/>
        <v>0</v>
      </c>
      <c r="AP66" s="740">
        <f t="shared" si="197"/>
        <v>0</v>
      </c>
      <c r="AQ66" s="740">
        <f t="shared" si="197"/>
        <v>0</v>
      </c>
      <c r="AR66" s="740">
        <f t="shared" si="210"/>
        <v>625</v>
      </c>
      <c r="AS66" s="740">
        <f t="shared" si="211"/>
        <v>125</v>
      </c>
      <c r="AT66" s="740">
        <f t="shared" si="212"/>
        <v>500</v>
      </c>
      <c r="AU66" s="740">
        <f t="shared" si="213"/>
        <v>125</v>
      </c>
      <c r="AV66" s="740">
        <f t="shared" si="214"/>
        <v>0</v>
      </c>
      <c r="AW66" s="740">
        <f t="shared" si="215"/>
        <v>0</v>
      </c>
      <c r="AX66" s="740">
        <f t="shared" si="216"/>
        <v>0</v>
      </c>
      <c r="AY66" s="740">
        <f t="shared" si="217"/>
        <v>0</v>
      </c>
      <c r="AZ66" s="740">
        <f t="shared" si="218"/>
        <v>0</v>
      </c>
      <c r="BA66" s="740">
        <f t="shared" si="219"/>
        <v>0</v>
      </c>
      <c r="BB66" s="740">
        <f t="shared" si="220"/>
        <v>0</v>
      </c>
      <c r="BC66" s="740">
        <f t="shared" si="221"/>
        <v>0</v>
      </c>
      <c r="BD66" s="740">
        <f t="shared" si="222"/>
        <v>0</v>
      </c>
      <c r="BE66" s="741">
        <f t="shared" si="223"/>
        <v>0</v>
      </c>
      <c r="BF66" s="740">
        <f t="shared" si="224"/>
        <v>0</v>
      </c>
      <c r="BG66" s="740">
        <f t="shared" si="225"/>
        <v>0</v>
      </c>
      <c r="BH66" s="740">
        <f t="shared" si="226"/>
        <v>0</v>
      </c>
      <c r="BI66" s="740">
        <f t="shared" si="199"/>
        <v>0</v>
      </c>
      <c r="BJ66" s="740">
        <f t="shared" si="199"/>
        <v>0</v>
      </c>
      <c r="BK66" s="740">
        <f t="shared" si="199"/>
        <v>0</v>
      </c>
      <c r="BL66" s="740">
        <f t="shared" si="199"/>
        <v>0</v>
      </c>
      <c r="BM66" s="740">
        <f t="shared" si="199"/>
        <v>0</v>
      </c>
      <c r="BN66" s="740">
        <f t="shared" si="227"/>
        <v>62.5</v>
      </c>
      <c r="BO66" s="740">
        <f t="shared" si="228"/>
        <v>12.5</v>
      </c>
      <c r="BP66" s="740">
        <f t="shared" si="229"/>
        <v>50</v>
      </c>
      <c r="BQ66" s="740">
        <f t="shared" si="230"/>
        <v>12.5</v>
      </c>
      <c r="BR66" s="740">
        <f t="shared" si="231"/>
        <v>0</v>
      </c>
      <c r="BS66" s="740">
        <f t="shared" si="232"/>
        <v>0</v>
      </c>
      <c r="BT66" s="740">
        <f t="shared" si="233"/>
        <v>0</v>
      </c>
      <c r="BU66" s="740">
        <f t="shared" si="234"/>
        <v>0</v>
      </c>
      <c r="BV66" s="740">
        <f t="shared" si="235"/>
        <v>0</v>
      </c>
      <c r="BW66" s="740">
        <f t="shared" si="236"/>
        <v>0</v>
      </c>
      <c r="BX66" s="740">
        <f t="shared" si="237"/>
        <v>0</v>
      </c>
      <c r="BY66" s="740">
        <f t="shared" si="238"/>
        <v>0</v>
      </c>
      <c r="BZ66" s="740">
        <f t="shared" si="239"/>
        <v>0</v>
      </c>
      <c r="CA66" s="741">
        <f t="shared" si="240"/>
        <v>0</v>
      </c>
      <c r="CB66" s="740">
        <f t="shared" si="241"/>
        <v>0</v>
      </c>
      <c r="CC66" s="740">
        <f t="shared" si="242"/>
        <v>0</v>
      </c>
      <c r="CD66" s="740">
        <f t="shared" si="243"/>
        <v>0</v>
      </c>
      <c r="CE66" s="740">
        <f t="shared" si="201"/>
        <v>0</v>
      </c>
      <c r="CF66" s="740">
        <f t="shared" si="201"/>
        <v>0</v>
      </c>
      <c r="CG66" s="740">
        <f t="shared" si="201"/>
        <v>0</v>
      </c>
      <c r="CH66" s="740">
        <f t="shared" si="201"/>
        <v>0</v>
      </c>
      <c r="CI66" s="740">
        <f t="shared" si="201"/>
        <v>0</v>
      </c>
      <c r="CJ66" s="740">
        <f t="shared" si="244"/>
        <v>125</v>
      </c>
      <c r="CK66" s="740">
        <f t="shared" si="245"/>
        <v>25</v>
      </c>
      <c r="CL66" s="740">
        <f t="shared" si="246"/>
        <v>100</v>
      </c>
      <c r="CM66" s="740">
        <f t="shared" si="247"/>
        <v>25</v>
      </c>
      <c r="CN66" s="740">
        <f t="shared" si="248"/>
        <v>0</v>
      </c>
      <c r="CO66" s="740">
        <f t="shared" si="249"/>
        <v>0</v>
      </c>
      <c r="CP66" s="740">
        <f t="shared" si="250"/>
        <v>0</v>
      </c>
      <c r="CQ66" s="740">
        <f t="shared" si="251"/>
        <v>0</v>
      </c>
      <c r="CR66" s="740">
        <f t="shared" si="252"/>
        <v>0</v>
      </c>
      <c r="CS66" s="740">
        <f t="shared" si="253"/>
        <v>0</v>
      </c>
      <c r="CT66" s="740">
        <f t="shared" si="254"/>
        <v>0</v>
      </c>
      <c r="CU66" s="740">
        <f t="shared" si="255"/>
        <v>0</v>
      </c>
      <c r="CV66" s="740">
        <f t="shared" si="256"/>
        <v>0</v>
      </c>
      <c r="CW66" s="741">
        <f t="shared" si="257"/>
        <v>0</v>
      </c>
      <c r="CX66" s="740">
        <f t="shared" si="258"/>
        <v>0</v>
      </c>
      <c r="CY66" s="740">
        <f t="shared" si="259"/>
        <v>0</v>
      </c>
      <c r="CZ66" s="740">
        <f t="shared" si="260"/>
        <v>0</v>
      </c>
      <c r="DA66" s="740">
        <f t="shared" si="203"/>
        <v>0</v>
      </c>
      <c r="DB66" s="740">
        <f t="shared" si="203"/>
        <v>0</v>
      </c>
      <c r="DC66" s="740">
        <f t="shared" si="203"/>
        <v>0</v>
      </c>
      <c r="DD66" s="740">
        <f t="shared" si="203"/>
        <v>0</v>
      </c>
      <c r="DE66" s="740">
        <f t="shared" si="203"/>
        <v>0</v>
      </c>
      <c r="DF66" s="740">
        <f t="shared" si="261"/>
        <v>5</v>
      </c>
      <c r="DG66" s="740">
        <f t="shared" si="262"/>
        <v>1</v>
      </c>
      <c r="DH66" s="740">
        <f t="shared" si="263"/>
        <v>4</v>
      </c>
      <c r="DI66" s="740">
        <f t="shared" si="264"/>
        <v>1</v>
      </c>
      <c r="DJ66" s="740">
        <f t="shared" si="265"/>
        <v>0</v>
      </c>
      <c r="DK66" s="740">
        <f t="shared" si="266"/>
        <v>0</v>
      </c>
      <c r="DL66" s="740">
        <f t="shared" si="267"/>
        <v>0</v>
      </c>
      <c r="DM66" s="740">
        <f t="shared" si="268"/>
        <v>0</v>
      </c>
      <c r="DN66" s="740">
        <f t="shared" si="269"/>
        <v>0</v>
      </c>
      <c r="DO66" s="740">
        <f t="shared" si="270"/>
        <v>0</v>
      </c>
      <c r="DP66" s="740">
        <f t="shared" si="271"/>
        <v>0</v>
      </c>
      <c r="DQ66" s="740">
        <f t="shared" si="272"/>
        <v>0</v>
      </c>
      <c r="DR66" s="742">
        <f t="shared" si="273"/>
        <v>0</v>
      </c>
    </row>
    <row r="67" spans="1:122" s="732" customFormat="1" ht="13.8" thickBot="1" x14ac:dyDescent="0.3">
      <c r="B67" s="730" t="str">
        <f>'Gårdens info'!C115</f>
        <v>Jordgubbsplast</v>
      </c>
      <c r="C67" s="733">
        <f>'Gårdens info'!D115</f>
        <v>2.15</v>
      </c>
      <c r="D67" s="734" t="s">
        <v>24</v>
      </c>
      <c r="E67" s="733">
        <f>'Gårdens info'!J115</f>
        <v>2013</v>
      </c>
      <c r="F67" s="751">
        <f>'Gårdens info'!G115</f>
        <v>1750</v>
      </c>
      <c r="G67" s="752" t="s">
        <v>25</v>
      </c>
      <c r="H67" s="753">
        <v>4</v>
      </c>
      <c r="I67" s="751">
        <f t="shared" si="274"/>
        <v>3762.5</v>
      </c>
      <c r="J67" s="735">
        <v>0</v>
      </c>
      <c r="K67" s="736">
        <v>0.05</v>
      </c>
      <c r="L67" s="737">
        <v>0</v>
      </c>
      <c r="M67" s="738">
        <v>0</v>
      </c>
      <c r="N67" s="738">
        <v>0</v>
      </c>
      <c r="O67" s="738">
        <v>0</v>
      </c>
      <c r="P67" s="738">
        <v>0</v>
      </c>
      <c r="Q67" s="738">
        <v>0</v>
      </c>
      <c r="R67" s="738">
        <v>0</v>
      </c>
      <c r="S67" s="738">
        <v>0</v>
      </c>
      <c r="T67" s="738">
        <v>0</v>
      </c>
      <c r="U67" s="738">
        <v>1</v>
      </c>
      <c r="V67" s="738">
        <v>0</v>
      </c>
      <c r="W67" s="738">
        <v>0</v>
      </c>
      <c r="X67" s="738">
        <v>0</v>
      </c>
      <c r="Y67" s="738">
        <v>0</v>
      </c>
      <c r="Z67" s="738">
        <v>0</v>
      </c>
      <c r="AA67" s="738">
        <v>0</v>
      </c>
      <c r="AB67" s="738">
        <v>0</v>
      </c>
      <c r="AC67" s="738">
        <v>0</v>
      </c>
      <c r="AD67" s="738">
        <v>0</v>
      </c>
      <c r="AE67" s="738">
        <v>0</v>
      </c>
      <c r="AF67" s="738">
        <v>0</v>
      </c>
      <c r="AG67" s="738">
        <v>0</v>
      </c>
      <c r="AH67" s="743">
        <f t="shared" si="205"/>
        <v>1</v>
      </c>
      <c r="AI67" s="741">
        <f t="shared" si="206"/>
        <v>0</v>
      </c>
      <c r="AJ67" s="740">
        <f>IF((($C$7-$E67)&lt;=$H67),(($I67-$J67)/$H67*M67),0)</f>
        <v>0</v>
      </c>
      <c r="AK67" s="740">
        <f t="shared" si="208"/>
        <v>0</v>
      </c>
      <c r="AL67" s="740">
        <f t="shared" si="209"/>
        <v>0</v>
      </c>
      <c r="AM67" s="740">
        <f t="shared" si="197"/>
        <v>0</v>
      </c>
      <c r="AN67" s="740">
        <f t="shared" si="197"/>
        <v>0</v>
      </c>
      <c r="AO67" s="740">
        <f t="shared" si="197"/>
        <v>0</v>
      </c>
      <c r="AP67" s="740">
        <f t="shared" si="197"/>
        <v>0</v>
      </c>
      <c r="AQ67" s="740">
        <f t="shared" si="197"/>
        <v>0</v>
      </c>
      <c r="AR67" s="740">
        <f t="shared" si="210"/>
        <v>0</v>
      </c>
      <c r="AS67" s="740">
        <f t="shared" si="211"/>
        <v>0</v>
      </c>
      <c r="AT67" s="740">
        <f t="shared" si="212"/>
        <v>0</v>
      </c>
      <c r="AU67" s="740">
        <f t="shared" si="213"/>
        <v>0</v>
      </c>
      <c r="AV67" s="740">
        <f t="shared" si="214"/>
        <v>0</v>
      </c>
      <c r="AW67" s="740">
        <f t="shared" si="215"/>
        <v>0</v>
      </c>
      <c r="AX67" s="740">
        <f t="shared" si="216"/>
        <v>0</v>
      </c>
      <c r="AY67" s="740">
        <f t="shared" si="217"/>
        <v>0</v>
      </c>
      <c r="AZ67" s="740">
        <f t="shared" si="218"/>
        <v>0</v>
      </c>
      <c r="BA67" s="740">
        <f t="shared" si="219"/>
        <v>0</v>
      </c>
      <c r="BB67" s="740">
        <f t="shared" si="220"/>
        <v>0</v>
      </c>
      <c r="BC67" s="740">
        <f t="shared" si="221"/>
        <v>0</v>
      </c>
      <c r="BD67" s="740">
        <f t="shared" si="222"/>
        <v>0</v>
      </c>
      <c r="BE67" s="741">
        <f t="shared" si="223"/>
        <v>0</v>
      </c>
      <c r="BF67" s="740">
        <f t="shared" si="224"/>
        <v>0</v>
      </c>
      <c r="BG67" s="740">
        <f t="shared" si="225"/>
        <v>0</v>
      </c>
      <c r="BH67" s="740">
        <f t="shared" si="226"/>
        <v>0</v>
      </c>
      <c r="BI67" s="740">
        <f t="shared" si="199"/>
        <v>0</v>
      </c>
      <c r="BJ67" s="740">
        <f t="shared" si="199"/>
        <v>0</v>
      </c>
      <c r="BK67" s="740">
        <f t="shared" si="199"/>
        <v>0</v>
      </c>
      <c r="BL67" s="740">
        <f t="shared" si="199"/>
        <v>0</v>
      </c>
      <c r="BM67" s="740">
        <f t="shared" si="199"/>
        <v>0</v>
      </c>
      <c r="BN67" s="740">
        <f t="shared" si="227"/>
        <v>0</v>
      </c>
      <c r="BO67" s="740">
        <f t="shared" si="228"/>
        <v>0</v>
      </c>
      <c r="BP67" s="740">
        <f t="shared" si="229"/>
        <v>0</v>
      </c>
      <c r="BQ67" s="740">
        <f t="shared" si="230"/>
        <v>0</v>
      </c>
      <c r="BR67" s="740">
        <f t="shared" si="231"/>
        <v>0</v>
      </c>
      <c r="BS67" s="740">
        <f t="shared" si="232"/>
        <v>0</v>
      </c>
      <c r="BT67" s="740">
        <f t="shared" si="233"/>
        <v>0</v>
      </c>
      <c r="BU67" s="740">
        <f t="shared" si="234"/>
        <v>0</v>
      </c>
      <c r="BV67" s="740">
        <f t="shared" si="235"/>
        <v>0</v>
      </c>
      <c r="BW67" s="740">
        <f t="shared" si="236"/>
        <v>0</v>
      </c>
      <c r="BX67" s="740">
        <f t="shared" si="237"/>
        <v>0</v>
      </c>
      <c r="BY67" s="740">
        <f t="shared" si="238"/>
        <v>0</v>
      </c>
      <c r="BZ67" s="740">
        <f t="shared" si="239"/>
        <v>0</v>
      </c>
      <c r="CA67" s="741">
        <f t="shared" si="240"/>
        <v>0</v>
      </c>
      <c r="CB67" s="740">
        <f t="shared" si="241"/>
        <v>0</v>
      </c>
      <c r="CC67" s="740">
        <f t="shared" si="242"/>
        <v>0</v>
      </c>
      <c r="CD67" s="740">
        <f t="shared" si="243"/>
        <v>0</v>
      </c>
      <c r="CE67" s="740">
        <f t="shared" si="201"/>
        <v>0</v>
      </c>
      <c r="CF67" s="740">
        <f t="shared" si="201"/>
        <v>0</v>
      </c>
      <c r="CG67" s="740">
        <f t="shared" si="201"/>
        <v>0</v>
      </c>
      <c r="CH67" s="740">
        <f t="shared" si="201"/>
        <v>0</v>
      </c>
      <c r="CI67" s="740">
        <f t="shared" si="201"/>
        <v>0</v>
      </c>
      <c r="CJ67" s="740">
        <f t="shared" si="244"/>
        <v>188.125</v>
      </c>
      <c r="CK67" s="740">
        <f t="shared" si="245"/>
        <v>0</v>
      </c>
      <c r="CL67" s="740">
        <f t="shared" si="246"/>
        <v>0</v>
      </c>
      <c r="CM67" s="740">
        <f t="shared" si="247"/>
        <v>0</v>
      </c>
      <c r="CN67" s="740">
        <f t="shared" si="248"/>
        <v>0</v>
      </c>
      <c r="CO67" s="740">
        <f t="shared" si="249"/>
        <v>0</v>
      </c>
      <c r="CP67" s="740">
        <f t="shared" si="250"/>
        <v>0</v>
      </c>
      <c r="CQ67" s="740">
        <f t="shared" si="251"/>
        <v>0</v>
      </c>
      <c r="CR67" s="740">
        <f t="shared" si="252"/>
        <v>0</v>
      </c>
      <c r="CS67" s="740">
        <f t="shared" si="253"/>
        <v>0</v>
      </c>
      <c r="CT67" s="740">
        <f t="shared" si="254"/>
        <v>0</v>
      </c>
      <c r="CU67" s="740">
        <f t="shared" si="255"/>
        <v>0</v>
      </c>
      <c r="CV67" s="740">
        <f t="shared" si="256"/>
        <v>0</v>
      </c>
      <c r="CW67" s="741">
        <f t="shared" si="257"/>
        <v>0</v>
      </c>
      <c r="CX67" s="740">
        <f t="shared" si="258"/>
        <v>0</v>
      </c>
      <c r="CY67" s="740">
        <f t="shared" si="259"/>
        <v>0</v>
      </c>
      <c r="CZ67" s="740">
        <f t="shared" si="260"/>
        <v>0</v>
      </c>
      <c r="DA67" s="740">
        <f t="shared" si="203"/>
        <v>0</v>
      </c>
      <c r="DB67" s="740">
        <f t="shared" si="203"/>
        <v>0</v>
      </c>
      <c r="DC67" s="740">
        <f t="shared" si="203"/>
        <v>0</v>
      </c>
      <c r="DD67" s="740">
        <f t="shared" si="203"/>
        <v>0</v>
      </c>
      <c r="DE67" s="740">
        <f t="shared" si="203"/>
        <v>0</v>
      </c>
      <c r="DF67" s="740">
        <f t="shared" si="261"/>
        <v>7.5250000000000004</v>
      </c>
      <c r="DG67" s="740">
        <f t="shared" si="262"/>
        <v>0</v>
      </c>
      <c r="DH67" s="740">
        <f t="shared" si="263"/>
        <v>0</v>
      </c>
      <c r="DI67" s="740">
        <f t="shared" si="264"/>
        <v>0</v>
      </c>
      <c r="DJ67" s="740">
        <f t="shared" si="265"/>
        <v>0</v>
      </c>
      <c r="DK67" s="740">
        <f t="shared" si="266"/>
        <v>0</v>
      </c>
      <c r="DL67" s="740">
        <f t="shared" si="267"/>
        <v>0</v>
      </c>
      <c r="DM67" s="740">
        <f t="shared" si="268"/>
        <v>0</v>
      </c>
      <c r="DN67" s="740">
        <f t="shared" si="269"/>
        <v>0</v>
      </c>
      <c r="DO67" s="740">
        <f t="shared" si="270"/>
        <v>0</v>
      </c>
      <c r="DP67" s="740">
        <f t="shared" si="271"/>
        <v>0</v>
      </c>
      <c r="DQ67" s="740">
        <f t="shared" si="272"/>
        <v>0</v>
      </c>
      <c r="DR67" s="742">
        <f t="shared" si="273"/>
        <v>0</v>
      </c>
    </row>
    <row r="68" spans="1:122" s="732" customFormat="1" ht="13.8" thickBot="1" x14ac:dyDescent="0.3">
      <c r="B68" s="730" t="str">
        <f>'Gårdens info'!C116</f>
        <v>Täcktyg</v>
      </c>
      <c r="C68" s="733">
        <f>'Gårdens info'!D116</f>
        <v>4</v>
      </c>
      <c r="D68" s="734" t="s">
        <v>24</v>
      </c>
      <c r="E68" s="733">
        <f>'Gårdens info'!J116</f>
        <v>2014</v>
      </c>
      <c r="F68" s="751">
        <f>'Gårdens info'!G116</f>
        <v>1751</v>
      </c>
      <c r="G68" s="752" t="s">
        <v>25</v>
      </c>
      <c r="H68" s="753">
        <v>8</v>
      </c>
      <c r="I68" s="751">
        <f t="shared" ref="I68" si="275">C68*F68</f>
        <v>7004</v>
      </c>
      <c r="J68" s="735">
        <v>0</v>
      </c>
      <c r="K68" s="736">
        <v>0.05</v>
      </c>
      <c r="L68" s="737">
        <v>0</v>
      </c>
      <c r="M68" s="738">
        <v>0</v>
      </c>
      <c r="N68" s="738">
        <v>0</v>
      </c>
      <c r="O68" s="738">
        <v>0</v>
      </c>
      <c r="P68" s="738">
        <v>0</v>
      </c>
      <c r="Q68" s="738">
        <v>0</v>
      </c>
      <c r="R68" s="738">
        <v>0</v>
      </c>
      <c r="S68" s="738">
        <v>0</v>
      </c>
      <c r="T68" s="738">
        <v>0</v>
      </c>
      <c r="U68" s="738">
        <v>0</v>
      </c>
      <c r="V68" s="738">
        <f>'Gårdens info'!$D$23/('Gårdens info'!$D$23+'Gårdens info'!$D$24+'Gårdens info'!$D$25+'Gårdens info'!$D$27)</f>
        <v>0.14285714285714285</v>
      </c>
      <c r="W68" s="738">
        <f>'Gårdens info'!$D$24/('Gårdens info'!$D$23+'Gårdens info'!$D$24+'Gårdens info'!$D$25+'Gårdens info'!$D$27)</f>
        <v>0.5714285714285714</v>
      </c>
      <c r="X68" s="738">
        <f>'Gårdens info'!$D$25/('Gårdens info'!$D$23+'Gårdens info'!$D$24+'Gårdens info'!$D$25+'Gårdens info'!$D$27)</f>
        <v>0.14285714285714285</v>
      </c>
      <c r="Y68" s="738">
        <v>0</v>
      </c>
      <c r="Z68" s="738">
        <f>'Gårdens info'!$D$25/('Gårdens info'!$D$23+'Gårdens info'!$D$24+'Gårdens info'!$D$25+'Gårdens info'!$D$27)</f>
        <v>0.14285714285714285</v>
      </c>
      <c r="AA68" s="738">
        <v>0</v>
      </c>
      <c r="AB68" s="738">
        <v>0</v>
      </c>
      <c r="AC68" s="738">
        <v>0</v>
      </c>
      <c r="AD68" s="738">
        <v>0</v>
      </c>
      <c r="AE68" s="738">
        <v>0</v>
      </c>
      <c r="AF68" s="738">
        <v>0</v>
      </c>
      <c r="AG68" s="738">
        <v>0</v>
      </c>
      <c r="AH68" s="743">
        <f t="shared" si="205"/>
        <v>0.99999999999999978</v>
      </c>
      <c r="AI68" s="741">
        <f t="shared" ref="AI68" si="276">IF((($C$7-$E68)&lt;=$H68),(($I68-$J68)/$H68*L68),0)</f>
        <v>0</v>
      </c>
      <c r="AJ68" s="740">
        <f>IF((($C$7-$E68)&lt;=$H68),(($I68-$J68)/$H68*M68),0)</f>
        <v>0</v>
      </c>
      <c r="AK68" s="740">
        <f t="shared" si="208"/>
        <v>0</v>
      </c>
      <c r="AL68" s="740">
        <f t="shared" si="209"/>
        <v>0</v>
      </c>
      <c r="AM68" s="740">
        <f t="shared" si="197"/>
        <v>0</v>
      </c>
      <c r="AN68" s="740">
        <f t="shared" si="197"/>
        <v>0</v>
      </c>
      <c r="AO68" s="740">
        <f t="shared" si="197"/>
        <v>0</v>
      </c>
      <c r="AP68" s="740">
        <f t="shared" si="197"/>
        <v>0</v>
      </c>
      <c r="AQ68" s="740">
        <f t="shared" si="197"/>
        <v>0</v>
      </c>
      <c r="AR68" s="740">
        <f t="shared" ref="AR68" si="277">IF((($C$7-$E68)&lt;=$H68),(($I68-$J68)/$H68*U68),0)</f>
        <v>0</v>
      </c>
      <c r="AS68" s="740">
        <f t="shared" ref="AS68" si="278">IF((($C$7-$E68)&lt;=$H68),(($I68-$J68)/$H68*V68),0)</f>
        <v>125.07142857142857</v>
      </c>
      <c r="AT68" s="740">
        <f t="shared" ref="AT68" si="279">IF((($C$7-$E68)&lt;=$H68),(($I68-$J68)/$H68*W68),0)</f>
        <v>500.28571428571428</v>
      </c>
      <c r="AU68" s="740">
        <f t="shared" ref="AU68" si="280">IF((($C$7-$E68)&lt;=$H68),(($I68-$J68)/$H68*X68),0)</f>
        <v>125.07142857142857</v>
      </c>
      <c r="AV68" s="740">
        <f t="shared" ref="AV68" si="281">IF((($C$7-$E68)&lt;=$H68),(($I68-$J68)/$H68*Y68),0)</f>
        <v>0</v>
      </c>
      <c r="AW68" s="740">
        <f t="shared" ref="AW68" si="282">IF((($C$7-$E68)&lt;=$H68),(($I68-$J68)/$H68*Z68),0)</f>
        <v>125.07142857142857</v>
      </c>
      <c r="AX68" s="740">
        <f t="shared" ref="AX68" si="283">IF((($C$7-$E68)&lt;=$H68),(($I68-$J68)/$H68*AA68),0)</f>
        <v>0</v>
      </c>
      <c r="AY68" s="740">
        <f t="shared" ref="AY68" si="284">IF((($C$7-$E68)&lt;=$H68),(($I68-$J68)/$H68*AB68),0)</f>
        <v>0</v>
      </c>
      <c r="AZ68" s="740">
        <f t="shared" ref="AZ68" si="285">IF((($C$7-$E68)&lt;=$H68),(($I68-$J68)/$H68*AC68),0)</f>
        <v>0</v>
      </c>
      <c r="BA68" s="740">
        <f t="shared" si="219"/>
        <v>0</v>
      </c>
      <c r="BB68" s="740">
        <f t="shared" si="220"/>
        <v>0</v>
      </c>
      <c r="BC68" s="740">
        <f t="shared" ref="BC68" si="286">IF((($C$7-$E68)&lt;=$H68),(($I68-$J68)/$H68*AF68),0)</f>
        <v>0</v>
      </c>
      <c r="BD68" s="740">
        <f t="shared" ref="BD68" si="287">IF((($C$7-$E68)&lt;=$H68),(($I68-$J68)/$H68*AG68),0)</f>
        <v>0</v>
      </c>
      <c r="BE68" s="741">
        <f t="shared" ref="BE68" si="288">IF(($C$7-$E68&lt;=$H68),(($I68+$J68)/2*$C$8*L68),0)</f>
        <v>0</v>
      </c>
      <c r="BF68" s="740">
        <f t="shared" ref="BF68" si="289">IF(($C$7-$E68&lt;=$H68),(($I68+$J68)/2*$C$8*M68),0)</f>
        <v>0</v>
      </c>
      <c r="BG68" s="740">
        <f t="shared" si="225"/>
        <v>0</v>
      </c>
      <c r="BH68" s="740">
        <f t="shared" si="226"/>
        <v>0</v>
      </c>
      <c r="BI68" s="740">
        <f t="shared" si="199"/>
        <v>0</v>
      </c>
      <c r="BJ68" s="740">
        <f t="shared" si="199"/>
        <v>0</v>
      </c>
      <c r="BK68" s="740">
        <f t="shared" si="199"/>
        <v>0</v>
      </c>
      <c r="BL68" s="740">
        <f t="shared" si="199"/>
        <v>0</v>
      </c>
      <c r="BM68" s="740">
        <f t="shared" si="199"/>
        <v>0</v>
      </c>
      <c r="BN68" s="740">
        <f t="shared" ref="BN68" si="290">IF(($C$7-$E68&lt;=$H68),(($I68+$J68)/2*$C$8*U68),0)</f>
        <v>0</v>
      </c>
      <c r="BO68" s="740">
        <f t="shared" ref="BO68" si="291">IF(($C$7-$E68&lt;=$H68),(($I68+$J68)/2*$C$8*V68),0)</f>
        <v>25.014285714285716</v>
      </c>
      <c r="BP68" s="740">
        <f t="shared" ref="BP68" si="292">IF(($C$7-$E68&lt;=$H68),(($I68+$J68)/2*$C$8*W68),0)</f>
        <v>100.05714285714286</v>
      </c>
      <c r="BQ68" s="740">
        <f t="shared" ref="BQ68" si="293">IF(($C$7-$E68&lt;=$H68),(($I68+$J68)/2*$C$8*X68),0)</f>
        <v>25.014285714285716</v>
      </c>
      <c r="BR68" s="740">
        <f t="shared" ref="BR68" si="294">IF(($C$7-$E68&lt;=$H68),(($I68+$J68)/2*$C$8*Y68),0)</f>
        <v>0</v>
      </c>
      <c r="BS68" s="740">
        <f t="shared" ref="BS68" si="295">IF(($C$7-$E68&lt;=$H68),(($I68+$J68)/2*$C$8*Z68),0)</f>
        <v>25.014285714285716</v>
      </c>
      <c r="BT68" s="740">
        <f t="shared" ref="BT68" si="296">IF(($C$7-$E68&lt;=$H68),(($I68+$J68)/2*$C$8*AA68),0)</f>
        <v>0</v>
      </c>
      <c r="BU68" s="740">
        <f t="shared" ref="BU68" si="297">IF(($C$7-$E68&lt;=$H68),(($I68+$J68)/2*$C$8*AB68),0)</f>
        <v>0</v>
      </c>
      <c r="BV68" s="740">
        <f t="shared" ref="BV68" si="298">IF(($C$7-$E68&lt;=$H68),(($I68+$J68)/2*$C$8*AC68),0)</f>
        <v>0</v>
      </c>
      <c r="BW68" s="740">
        <f t="shared" si="236"/>
        <v>0</v>
      </c>
      <c r="BX68" s="740">
        <f t="shared" si="237"/>
        <v>0</v>
      </c>
      <c r="BY68" s="740">
        <f t="shared" ref="BY68" si="299">IF(($C$7-$E68&lt;=$H68),(($I68+$J68)/2*$C$8*AF68),0)</f>
        <v>0</v>
      </c>
      <c r="BZ68" s="740">
        <f t="shared" ref="BZ68" si="300">IF(($C$7-$E68&lt;=$H68),(($I68+$J68)/2*$C$8*AG68),0)</f>
        <v>0</v>
      </c>
      <c r="CA68" s="741">
        <f t="shared" ref="CA68" si="301">$I68*$K68*L68</f>
        <v>0</v>
      </c>
      <c r="CB68" s="740">
        <f t="shared" ref="CB68" si="302">$I68*$K68*M68</f>
        <v>0</v>
      </c>
      <c r="CC68" s="740">
        <f t="shared" si="242"/>
        <v>0</v>
      </c>
      <c r="CD68" s="740">
        <f t="shared" si="243"/>
        <v>0</v>
      </c>
      <c r="CE68" s="740">
        <f t="shared" si="201"/>
        <v>0</v>
      </c>
      <c r="CF68" s="740">
        <f t="shared" si="201"/>
        <v>0</v>
      </c>
      <c r="CG68" s="740">
        <f t="shared" si="201"/>
        <v>0</v>
      </c>
      <c r="CH68" s="740">
        <f t="shared" si="201"/>
        <v>0</v>
      </c>
      <c r="CI68" s="740">
        <f t="shared" si="201"/>
        <v>0</v>
      </c>
      <c r="CJ68" s="740">
        <f t="shared" ref="CJ68" si="303">$I68*$K68*U68</f>
        <v>0</v>
      </c>
      <c r="CK68" s="740">
        <f t="shared" ref="CK68" si="304">$I68*$K68*V68</f>
        <v>50.028571428571432</v>
      </c>
      <c r="CL68" s="740">
        <f t="shared" ref="CL68" si="305">$I68*$K68*W68</f>
        <v>200.11428571428573</v>
      </c>
      <c r="CM68" s="740">
        <f t="shared" ref="CM68" si="306">$I68*$K68*X68</f>
        <v>50.028571428571432</v>
      </c>
      <c r="CN68" s="740">
        <f t="shared" ref="CN68" si="307">$I68*$K68*Y68</f>
        <v>0</v>
      </c>
      <c r="CO68" s="740">
        <f t="shared" ref="CO68" si="308">$I68*$K68*Z68</f>
        <v>50.028571428571432</v>
      </c>
      <c r="CP68" s="740">
        <f t="shared" ref="CP68" si="309">$I68*$K68*AA68</f>
        <v>0</v>
      </c>
      <c r="CQ68" s="740">
        <f t="shared" ref="CQ68" si="310">$I68*$K68*AB68</f>
        <v>0</v>
      </c>
      <c r="CR68" s="740">
        <f t="shared" ref="CR68" si="311">$I68*$K68*AC68</f>
        <v>0</v>
      </c>
      <c r="CS68" s="740">
        <f t="shared" si="253"/>
        <v>0</v>
      </c>
      <c r="CT68" s="740">
        <f t="shared" si="254"/>
        <v>0</v>
      </c>
      <c r="CU68" s="740">
        <f t="shared" ref="CU68" si="312">$I68*$K68*AF68</f>
        <v>0</v>
      </c>
      <c r="CV68" s="740">
        <f t="shared" ref="CV68" si="313">$I68*$K68*AG68</f>
        <v>0</v>
      </c>
      <c r="CW68" s="741">
        <f t="shared" ref="CW68" si="314">$I68*$C$9*L68</f>
        <v>0</v>
      </c>
      <c r="CX68" s="740">
        <f t="shared" ref="CX68" si="315">$I68*$C$9*M68</f>
        <v>0</v>
      </c>
      <c r="CY68" s="740">
        <f t="shared" si="259"/>
        <v>0</v>
      </c>
      <c r="CZ68" s="740">
        <f t="shared" si="260"/>
        <v>0</v>
      </c>
      <c r="DA68" s="740">
        <f t="shared" si="203"/>
        <v>0</v>
      </c>
      <c r="DB68" s="740">
        <f t="shared" si="203"/>
        <v>0</v>
      </c>
      <c r="DC68" s="740">
        <f t="shared" si="203"/>
        <v>0</v>
      </c>
      <c r="DD68" s="740">
        <f t="shared" si="203"/>
        <v>0</v>
      </c>
      <c r="DE68" s="740">
        <f t="shared" si="203"/>
        <v>0</v>
      </c>
      <c r="DF68" s="740">
        <f t="shared" ref="DF68" si="316">$I68*$C$9*U68</f>
        <v>0</v>
      </c>
      <c r="DG68" s="740">
        <f t="shared" ref="DG68" si="317">$I68*$C$9*V68</f>
        <v>2.0011428571428573</v>
      </c>
      <c r="DH68" s="740">
        <f t="shared" ref="DH68" si="318">$I68*$C$9*W68</f>
        <v>8.0045714285714293</v>
      </c>
      <c r="DI68" s="740">
        <f t="shared" ref="DI68" si="319">$I68*$C$9*X68</f>
        <v>2.0011428571428573</v>
      </c>
      <c r="DJ68" s="740">
        <f t="shared" ref="DJ68" si="320">$I68*$C$9*Y68</f>
        <v>0</v>
      </c>
      <c r="DK68" s="740">
        <f t="shared" ref="DK68" si="321">$I68*$C$9*Z68</f>
        <v>2.0011428571428573</v>
      </c>
      <c r="DL68" s="740">
        <f t="shared" ref="DL68" si="322">$I68*$C$9*AA68</f>
        <v>0</v>
      </c>
      <c r="DM68" s="740">
        <f t="shared" ref="DM68" si="323">$I68*$C$9*AB68</f>
        <v>0</v>
      </c>
      <c r="DN68" s="740">
        <f t="shared" ref="DN68" si="324">$I68*$C$9*AC68</f>
        <v>0</v>
      </c>
      <c r="DO68" s="740">
        <f t="shared" si="270"/>
        <v>0</v>
      </c>
      <c r="DP68" s="740">
        <f t="shared" si="271"/>
        <v>0</v>
      </c>
      <c r="DQ68" s="740">
        <f t="shared" ref="DQ68" si="325">$I68*$C$9*AF68</f>
        <v>0</v>
      </c>
      <c r="DR68" s="742">
        <f t="shared" ref="DR68" si="326">$I68*$C$9*AG68</f>
        <v>0</v>
      </c>
    </row>
    <row r="69" spans="1:122" s="732" customFormat="1" ht="13.8" thickBot="1" x14ac:dyDescent="0.3">
      <c r="B69" s="730" t="str">
        <f>'Gårdens info'!C117</f>
        <v>Ryggspruta</v>
      </c>
      <c r="C69" s="733">
        <f>'Gårdens info'!D117</f>
        <v>200</v>
      </c>
      <c r="D69" s="734" t="s">
        <v>7</v>
      </c>
      <c r="E69" s="733">
        <f>'Gårdens info'!J117</f>
        <v>2013</v>
      </c>
      <c r="F69" s="751">
        <f>'Gårdens info'!G117</f>
        <v>1</v>
      </c>
      <c r="G69" s="752" t="s">
        <v>15</v>
      </c>
      <c r="H69" s="753">
        <v>10</v>
      </c>
      <c r="I69" s="730">
        <f t="shared" si="274"/>
        <v>200</v>
      </c>
      <c r="J69" s="735">
        <v>0</v>
      </c>
      <c r="K69" s="736">
        <v>0.05</v>
      </c>
      <c r="L69" s="738">
        <f>'Gårdens info'!$D$10/('Gårdens info'!$D$10+'Gårdens info'!$D$11+'Gårdens info'!$D$12+'Gårdens info'!$D$13+'Gårdens info'!$D$22+'Gårdens info'!$D$23+'Gårdens info'!$D$24+'Gårdens info'!$D$25+'Gårdens info'!$D$26+'Gårdens info'!$D$27+'Gårdens info'!$D$28)</f>
        <v>4.1666666666666664E-2</v>
      </c>
      <c r="M69" s="738">
        <f>'Gårdens info'!$D$11/('Gårdens info'!$D$10+'Gårdens info'!$D$11+'Gårdens info'!$D$12+'Gårdens info'!$D$13+'Gårdens info'!$D$22+'Gårdens info'!$D$23+'Gårdens info'!$D$24+'Gårdens info'!$D$25+'Gårdens info'!$D$26+'Gårdens info'!$D$27+'Gårdens info'!$D$28)</f>
        <v>4.1666666666666664E-2</v>
      </c>
      <c r="N69" s="738">
        <f>'Gårdens info'!$D$12/('Gårdens info'!$D$10+'Gårdens info'!$D$11+'Gårdens info'!$D$12+'Gårdens info'!$D$13+'Gårdens info'!$D$22+'Gårdens info'!$D$23+'Gårdens info'!$D$24+'Gårdens info'!$D$25+'Gårdens info'!$D$26+'Gårdens info'!$D$27+'Gårdens info'!$D$28)</f>
        <v>4.1666666666666664E-2</v>
      </c>
      <c r="O69" s="738">
        <f>'Gårdens info'!$D$13/('Gårdens info'!$D$10+'Gårdens info'!$D$11+'Gårdens info'!$D$12+'Gårdens info'!$D$13+'Gårdens info'!$D$22+'Gårdens info'!$D$23+'Gårdens info'!$D$24+'Gårdens info'!$D$25+'Gårdens info'!$D$26+'Gårdens info'!$D$27+'Gårdens info'!$D$28)</f>
        <v>4.1666666666666664E-2</v>
      </c>
      <c r="P69" s="738">
        <f>'Gårdens info'!$D$14/('Gårdens info'!$D$10+'Gårdens info'!$D$11+'Gårdens info'!$D$12+'Gårdens info'!$D$13+'Gårdens info'!$D$22+'Gårdens info'!$D$23+'Gårdens info'!$D$24+'Gårdens info'!$D$25+'Gårdens info'!$D$26+'Gårdens info'!$D$27+'Gårdens info'!$D$28)</f>
        <v>0</v>
      </c>
      <c r="Q69" s="738">
        <f>'Gårdens info'!$D$15/('Gårdens info'!$D$10+'Gårdens info'!$D$11+'Gårdens info'!$D$12+'Gårdens info'!$D$13+'Gårdens info'!$D$22+'Gårdens info'!$D$23+'Gårdens info'!$D$24+'Gårdens info'!$D$25+'Gårdens info'!$D$26+'Gårdens info'!$D$27+'Gårdens info'!$D$28)</f>
        <v>0</v>
      </c>
      <c r="R69" s="738">
        <f>'Gårdens info'!$D$16/('Gårdens info'!$D$10+'Gårdens info'!$D$11+'Gårdens info'!$D$12+'Gårdens info'!$D$13+'Gårdens info'!$D$22+'Gårdens info'!$D$23+'Gårdens info'!$D$24+'Gårdens info'!$D$25+'Gårdens info'!$D$26+'Gårdens info'!$D$27+'Gårdens info'!$D$28)</f>
        <v>0</v>
      </c>
      <c r="S69" s="738">
        <f>'Gårdens info'!$D$17/('Gårdens info'!$D$10+'Gårdens info'!$D$11+'Gårdens info'!$D$12+'Gårdens info'!$D$13+'Gårdens info'!$D$22+'Gårdens info'!$D$23+'Gårdens info'!$D$24+'Gårdens info'!$D$25+'Gårdens info'!$D$26+'Gårdens info'!$D$27+'Gårdens info'!$D$28)</f>
        <v>0</v>
      </c>
      <c r="T69" s="738">
        <f>'Gårdens info'!$D$18/('Gårdens info'!$D$10+'Gårdens info'!$D$11+'Gårdens info'!$D$12+'Gårdens info'!$D$13+'Gårdens info'!$D$22+'Gårdens info'!$D$23+'Gårdens info'!$D$24+'Gårdens info'!$D$25+'Gårdens info'!$D$26+'Gårdens info'!$D$27+'Gårdens info'!$D$28)</f>
        <v>0</v>
      </c>
      <c r="U69" s="738">
        <f>'Gårdens info'!$D$22/('Gårdens info'!$D$10+'Gårdens info'!$D$11+'Gårdens info'!$D$12+'Gårdens info'!$D$13+'Gårdens info'!$D$22+'Gårdens info'!$D$23+'Gårdens info'!$D$24+'Gårdens info'!$D$25+'Gårdens info'!$D$26+'Gårdens info'!$D$27+'Gårdens info'!$D$28)</f>
        <v>0.20833333333333334</v>
      </c>
      <c r="V69" s="738">
        <f>'Gårdens info'!$D$23/('Gårdens info'!$D$10+'Gårdens info'!$D$11+'Gårdens info'!$D$12+'Gårdens info'!$D$13+'Gårdens info'!$D$22+'Gårdens info'!$D$23+'Gårdens info'!$D$24+'Gårdens info'!$D$25+'Gårdens info'!$D$26+'Gårdens info'!$D$27+'Gårdens info'!$D$28)</f>
        <v>4.1666666666666664E-2</v>
      </c>
      <c r="W69" s="738">
        <f>'Gårdens info'!$D$24/('Gårdens info'!$D$10+'Gårdens info'!$D$11+'Gårdens info'!$D$12+'Gårdens info'!$D$13+'Gårdens info'!$D$22+'Gårdens info'!$D$23+'Gårdens info'!$D$24+'Gårdens info'!$D$25+'Gårdens info'!$D$26+'Gårdens info'!$D$27+'Gårdens info'!$D$28)</f>
        <v>0.16666666666666666</v>
      </c>
      <c r="X69" s="738">
        <f>'Gårdens info'!$D$25/('Gårdens info'!$D$10+'Gårdens info'!$D$11+'Gårdens info'!$D$12+'Gårdens info'!$D$13+'Gårdens info'!$D$22+'Gårdens info'!$D$23+'Gårdens info'!$D$24+'Gårdens info'!$D$25+'Gårdens info'!$D$26+'Gårdens info'!$D$27+'Gårdens info'!$D$28)</f>
        <v>4.1666666666666664E-2</v>
      </c>
      <c r="Y69" s="738">
        <f>'Gårdens info'!$D$26/('Gårdens info'!$D$10+'Gårdens info'!$D$11+'Gårdens info'!$D$12+'Gårdens info'!$D$13+'Gårdens info'!$D$22+'Gårdens info'!$D$23+'Gårdens info'!$D$24+'Gårdens info'!$D$25+'Gårdens info'!$D$26+'Gårdens info'!$D$27+'Gårdens info'!$D$28)</f>
        <v>0.20833333333333334</v>
      </c>
      <c r="Z69" s="738">
        <f>'Gårdens info'!$D$27/('Gårdens info'!$D$10+'Gårdens info'!$D$11+'Gårdens info'!$D$12+'Gårdens info'!$D$13+'Gårdens info'!$D$22+'Gårdens info'!$D$23+'Gårdens info'!$D$24+'Gårdens info'!$D$25+'Gårdens info'!$D$26+'Gårdens info'!$D$27+'Gårdens info'!$D$28)</f>
        <v>4.1666666666666664E-2</v>
      </c>
      <c r="AA69" s="738">
        <f>'Gårdens info'!$D$28/('Gårdens info'!$D$10+'Gårdens info'!$D$11+'Gårdens info'!$D$12+'Gårdens info'!$D$13+'Gårdens info'!$D$22+'Gårdens info'!$D$23+'Gårdens info'!$D$24+'Gårdens info'!$D$25+'Gårdens info'!$D$26+'Gårdens info'!$D$27+'Gårdens info'!$D$28)</f>
        <v>0.125</v>
      </c>
      <c r="AB69" s="738">
        <v>0</v>
      </c>
      <c r="AC69" s="738">
        <v>0</v>
      </c>
      <c r="AD69" s="738">
        <v>0</v>
      </c>
      <c r="AE69" s="738">
        <v>0</v>
      </c>
      <c r="AF69" s="738">
        <v>0</v>
      </c>
      <c r="AG69" s="738">
        <v>0</v>
      </c>
      <c r="AH69" s="743">
        <f t="shared" si="205"/>
        <v>1</v>
      </c>
      <c r="AI69" s="741">
        <f t="shared" si="206"/>
        <v>0.83333333333333326</v>
      </c>
      <c r="AJ69" s="740">
        <f t="shared" si="207"/>
        <v>0.83333333333333326</v>
      </c>
      <c r="AK69" s="740">
        <f t="shared" si="208"/>
        <v>0.83333333333333326</v>
      </c>
      <c r="AL69" s="740">
        <f t="shared" si="209"/>
        <v>0.83333333333333326</v>
      </c>
      <c r="AM69" s="740">
        <f t="shared" si="197"/>
        <v>0</v>
      </c>
      <c r="AN69" s="740">
        <f t="shared" si="197"/>
        <v>0</v>
      </c>
      <c r="AO69" s="740">
        <f t="shared" si="197"/>
        <v>0</v>
      </c>
      <c r="AP69" s="740">
        <f t="shared" si="197"/>
        <v>0</v>
      </c>
      <c r="AQ69" s="740">
        <f t="shared" si="197"/>
        <v>0</v>
      </c>
      <c r="AR69" s="740">
        <f t="shared" si="210"/>
        <v>4.166666666666667</v>
      </c>
      <c r="AS69" s="740">
        <f t="shared" ref="AS69:AU70" si="327">IF((($C$7-$E69)&lt;=$H69),(($I69-$J69)/$H69*V69),0)</f>
        <v>0.83333333333333326</v>
      </c>
      <c r="AT69" s="740">
        <f t="shared" si="327"/>
        <v>3.333333333333333</v>
      </c>
      <c r="AU69" s="740">
        <f t="shared" si="327"/>
        <v>0.83333333333333326</v>
      </c>
      <c r="AV69" s="740">
        <f t="shared" si="214"/>
        <v>4.166666666666667</v>
      </c>
      <c r="AW69" s="740">
        <f t="shared" si="215"/>
        <v>0.83333333333333326</v>
      </c>
      <c r="AX69" s="740">
        <f t="shared" si="216"/>
        <v>2.5</v>
      </c>
      <c r="AY69" s="740">
        <f t="shared" si="217"/>
        <v>0</v>
      </c>
      <c r="AZ69" s="740">
        <f t="shared" si="218"/>
        <v>0</v>
      </c>
      <c r="BA69" s="740">
        <f t="shared" si="219"/>
        <v>0</v>
      </c>
      <c r="BB69" s="740">
        <f t="shared" si="220"/>
        <v>0</v>
      </c>
      <c r="BC69" s="740">
        <f t="shared" si="221"/>
        <v>0</v>
      </c>
      <c r="BD69" s="740">
        <f t="shared" si="222"/>
        <v>0</v>
      </c>
      <c r="BE69" s="741">
        <f t="shared" si="223"/>
        <v>0.20833333333333331</v>
      </c>
      <c r="BF69" s="740">
        <f t="shared" si="224"/>
        <v>0.20833333333333331</v>
      </c>
      <c r="BG69" s="740">
        <f t="shared" si="225"/>
        <v>0.20833333333333331</v>
      </c>
      <c r="BH69" s="740">
        <f t="shared" si="226"/>
        <v>0.20833333333333331</v>
      </c>
      <c r="BI69" s="740">
        <f t="shared" si="199"/>
        <v>0</v>
      </c>
      <c r="BJ69" s="740">
        <f t="shared" si="199"/>
        <v>0</v>
      </c>
      <c r="BK69" s="740">
        <f t="shared" si="199"/>
        <v>0</v>
      </c>
      <c r="BL69" s="740">
        <f t="shared" si="199"/>
        <v>0</v>
      </c>
      <c r="BM69" s="740">
        <f t="shared" si="199"/>
        <v>0</v>
      </c>
      <c r="BN69" s="740">
        <f t="shared" si="227"/>
        <v>1.0416666666666667</v>
      </c>
      <c r="BO69" s="740">
        <f t="shared" si="228"/>
        <v>0.20833333333333331</v>
      </c>
      <c r="BP69" s="740">
        <f t="shared" si="229"/>
        <v>0.83333333333333326</v>
      </c>
      <c r="BQ69" s="740">
        <f t="shared" si="230"/>
        <v>0.20833333333333331</v>
      </c>
      <c r="BR69" s="740">
        <f t="shared" si="231"/>
        <v>1.0416666666666667</v>
      </c>
      <c r="BS69" s="740">
        <f t="shared" si="232"/>
        <v>0.20833333333333331</v>
      </c>
      <c r="BT69" s="740">
        <f t="shared" si="233"/>
        <v>0.625</v>
      </c>
      <c r="BU69" s="740">
        <f t="shared" si="234"/>
        <v>0</v>
      </c>
      <c r="BV69" s="740">
        <f t="shared" si="235"/>
        <v>0</v>
      </c>
      <c r="BW69" s="740">
        <f t="shared" si="236"/>
        <v>0</v>
      </c>
      <c r="BX69" s="740">
        <f t="shared" si="237"/>
        <v>0</v>
      </c>
      <c r="BY69" s="740">
        <f t="shared" si="238"/>
        <v>0</v>
      </c>
      <c r="BZ69" s="740">
        <f t="shared" si="239"/>
        <v>0</v>
      </c>
      <c r="CA69" s="741">
        <f t="shared" si="240"/>
        <v>0.41666666666666663</v>
      </c>
      <c r="CB69" s="740">
        <f t="shared" si="241"/>
        <v>0.41666666666666663</v>
      </c>
      <c r="CC69" s="740">
        <f t="shared" si="242"/>
        <v>0.41666666666666663</v>
      </c>
      <c r="CD69" s="740">
        <f t="shared" si="243"/>
        <v>0.41666666666666663</v>
      </c>
      <c r="CE69" s="740">
        <f t="shared" si="201"/>
        <v>0</v>
      </c>
      <c r="CF69" s="740">
        <f t="shared" si="201"/>
        <v>0</v>
      </c>
      <c r="CG69" s="740">
        <f t="shared" si="201"/>
        <v>0</v>
      </c>
      <c r="CH69" s="740">
        <f t="shared" si="201"/>
        <v>0</v>
      </c>
      <c r="CI69" s="740">
        <f t="shared" si="201"/>
        <v>0</v>
      </c>
      <c r="CJ69" s="740">
        <f t="shared" si="244"/>
        <v>2.0833333333333335</v>
      </c>
      <c r="CK69" s="740">
        <f t="shared" si="245"/>
        <v>0.41666666666666663</v>
      </c>
      <c r="CL69" s="740">
        <f t="shared" si="246"/>
        <v>1.6666666666666665</v>
      </c>
      <c r="CM69" s="740">
        <f t="shared" si="247"/>
        <v>0.41666666666666663</v>
      </c>
      <c r="CN69" s="740">
        <f t="shared" si="248"/>
        <v>2.0833333333333335</v>
      </c>
      <c r="CO69" s="740">
        <f t="shared" si="249"/>
        <v>0.41666666666666663</v>
      </c>
      <c r="CP69" s="740">
        <f t="shared" si="250"/>
        <v>1.25</v>
      </c>
      <c r="CQ69" s="740">
        <f t="shared" si="251"/>
        <v>0</v>
      </c>
      <c r="CR69" s="740">
        <f t="shared" si="252"/>
        <v>0</v>
      </c>
      <c r="CS69" s="740">
        <f t="shared" si="253"/>
        <v>0</v>
      </c>
      <c r="CT69" s="740">
        <f t="shared" si="254"/>
        <v>0</v>
      </c>
      <c r="CU69" s="740">
        <f t="shared" si="255"/>
        <v>0</v>
      </c>
      <c r="CV69" s="740">
        <f t="shared" si="256"/>
        <v>0</v>
      </c>
      <c r="CW69" s="741">
        <f t="shared" si="257"/>
        <v>1.6666666666666666E-2</v>
      </c>
      <c r="CX69" s="740">
        <f t="shared" si="258"/>
        <v>1.6666666666666666E-2</v>
      </c>
      <c r="CY69" s="740">
        <f t="shared" si="259"/>
        <v>1.6666666666666666E-2</v>
      </c>
      <c r="CZ69" s="740">
        <f t="shared" si="260"/>
        <v>1.6666666666666666E-2</v>
      </c>
      <c r="DA69" s="740">
        <f t="shared" si="203"/>
        <v>0</v>
      </c>
      <c r="DB69" s="740">
        <f t="shared" si="203"/>
        <v>0</v>
      </c>
      <c r="DC69" s="740">
        <f t="shared" si="203"/>
        <v>0</v>
      </c>
      <c r="DD69" s="740">
        <f t="shared" si="203"/>
        <v>0</v>
      </c>
      <c r="DE69" s="740">
        <f t="shared" si="203"/>
        <v>0</v>
      </c>
      <c r="DF69" s="740">
        <f t="shared" si="261"/>
        <v>8.3333333333333343E-2</v>
      </c>
      <c r="DG69" s="740">
        <f t="shared" si="262"/>
        <v>1.6666666666666666E-2</v>
      </c>
      <c r="DH69" s="740">
        <f t="shared" si="263"/>
        <v>6.6666666666666666E-2</v>
      </c>
      <c r="DI69" s="740">
        <f t="shared" si="264"/>
        <v>1.6666666666666666E-2</v>
      </c>
      <c r="DJ69" s="740">
        <f t="shared" si="265"/>
        <v>8.3333333333333343E-2</v>
      </c>
      <c r="DK69" s="740">
        <f t="shared" si="266"/>
        <v>1.6666666666666666E-2</v>
      </c>
      <c r="DL69" s="740">
        <f t="shared" si="267"/>
        <v>0.05</v>
      </c>
      <c r="DM69" s="740">
        <f t="shared" si="268"/>
        <v>0</v>
      </c>
      <c r="DN69" s="740">
        <f t="shared" si="269"/>
        <v>0</v>
      </c>
      <c r="DO69" s="740">
        <f t="shared" si="270"/>
        <v>0</v>
      </c>
      <c r="DP69" s="740">
        <f t="shared" si="271"/>
        <v>0</v>
      </c>
      <c r="DQ69" s="740">
        <f t="shared" si="272"/>
        <v>0</v>
      </c>
      <c r="DR69" s="742">
        <f t="shared" si="273"/>
        <v>0</v>
      </c>
    </row>
    <row r="70" spans="1:122" s="732" customFormat="1" ht="13.8" thickBot="1" x14ac:dyDescent="0.3">
      <c r="B70" s="730" t="str">
        <f>'Gårdens info'!C118</f>
        <v>Handverktyg</v>
      </c>
      <c r="C70" s="733">
        <f>'Gårdens info'!D118</f>
        <v>500</v>
      </c>
      <c r="D70" s="734" t="s">
        <v>7</v>
      </c>
      <c r="E70" s="733">
        <f>'Gårdens info'!J118</f>
        <v>2008</v>
      </c>
      <c r="F70" s="751">
        <f>'Gårdens info'!G118</f>
        <v>1</v>
      </c>
      <c r="G70" s="752" t="s">
        <v>15</v>
      </c>
      <c r="H70" s="753">
        <v>10</v>
      </c>
      <c r="I70" s="730">
        <f>C70*F70</f>
        <v>500</v>
      </c>
      <c r="J70" s="735">
        <v>0</v>
      </c>
      <c r="K70" s="736">
        <v>0.05</v>
      </c>
      <c r="L70" s="738">
        <f>'Gårdens info'!$D$10/('Gårdens info'!$D$10+'Gårdens info'!$D$11+'Gårdens info'!$D$12+'Gårdens info'!$D$13+'Gårdens info'!$D$22+'Gårdens info'!$D$23+'Gårdens info'!$D$24+'Gårdens info'!$D$25+'Gårdens info'!$D$26+'Gårdens info'!$D$27+'Gårdens info'!$D$28)</f>
        <v>4.1666666666666664E-2</v>
      </c>
      <c r="M70" s="738">
        <f>'Gårdens info'!$D$11/('Gårdens info'!$D$10+'Gårdens info'!$D$11+'Gårdens info'!$D$12+'Gårdens info'!$D$13+'Gårdens info'!$D$22+'Gårdens info'!$D$23+'Gårdens info'!$D$24+'Gårdens info'!$D$25+'Gårdens info'!$D$26+'Gårdens info'!$D$27+'Gårdens info'!$D$28)</f>
        <v>4.1666666666666664E-2</v>
      </c>
      <c r="N70" s="738">
        <f>'Gårdens info'!$D$12/('Gårdens info'!$D$10+'Gårdens info'!$D$11+'Gårdens info'!$D$12+'Gårdens info'!$D$13+'Gårdens info'!$D$22+'Gårdens info'!$D$23+'Gårdens info'!$D$24+'Gårdens info'!$D$25+'Gårdens info'!$D$26+'Gårdens info'!$D$27+'Gårdens info'!$D$28)</f>
        <v>4.1666666666666664E-2</v>
      </c>
      <c r="O70" s="738">
        <f>'Gårdens info'!$D$13/('Gårdens info'!$D$10+'Gårdens info'!$D$11+'Gårdens info'!$D$12+'Gårdens info'!$D$13+'Gårdens info'!$D$22+'Gårdens info'!$D$23+'Gårdens info'!$D$24+'Gårdens info'!$D$25+'Gårdens info'!$D$26+'Gårdens info'!$D$27+'Gårdens info'!$D$28)</f>
        <v>4.1666666666666664E-2</v>
      </c>
      <c r="P70" s="738">
        <f>'Gårdens info'!$D$14/('Gårdens info'!$D$10+'Gårdens info'!$D$11+'Gårdens info'!$D$12+'Gårdens info'!$D$13+'Gårdens info'!$D$22+'Gårdens info'!$D$23+'Gårdens info'!$D$24+'Gårdens info'!$D$25+'Gårdens info'!$D$26+'Gårdens info'!$D$27+'Gårdens info'!$D$28)</f>
        <v>0</v>
      </c>
      <c r="Q70" s="738">
        <f>'Gårdens info'!$D$15/('Gårdens info'!$D$10+'Gårdens info'!$D$11+'Gårdens info'!$D$12+'Gårdens info'!$D$13+'Gårdens info'!$D$22+'Gårdens info'!$D$23+'Gårdens info'!$D$24+'Gårdens info'!$D$25+'Gårdens info'!$D$26+'Gårdens info'!$D$27+'Gårdens info'!$D$28)</f>
        <v>0</v>
      </c>
      <c r="R70" s="738">
        <f>'Gårdens info'!$D$16/('Gårdens info'!$D$10+'Gårdens info'!$D$11+'Gårdens info'!$D$12+'Gårdens info'!$D$13+'Gårdens info'!$D$22+'Gårdens info'!$D$23+'Gårdens info'!$D$24+'Gårdens info'!$D$25+'Gårdens info'!$D$26+'Gårdens info'!$D$27+'Gårdens info'!$D$28)</f>
        <v>0</v>
      </c>
      <c r="S70" s="738">
        <f>'Gårdens info'!$D$17/('Gårdens info'!$D$10+'Gårdens info'!$D$11+'Gårdens info'!$D$12+'Gårdens info'!$D$13+'Gårdens info'!$D$22+'Gårdens info'!$D$23+'Gårdens info'!$D$24+'Gårdens info'!$D$25+'Gårdens info'!$D$26+'Gårdens info'!$D$27+'Gårdens info'!$D$28)</f>
        <v>0</v>
      </c>
      <c r="T70" s="738">
        <f>'Gårdens info'!$D$18/('Gårdens info'!$D$10+'Gårdens info'!$D$11+'Gårdens info'!$D$12+'Gårdens info'!$D$13+'Gårdens info'!$D$22+'Gårdens info'!$D$23+'Gårdens info'!$D$24+'Gårdens info'!$D$25+'Gårdens info'!$D$26+'Gårdens info'!$D$27+'Gårdens info'!$D$28)</f>
        <v>0</v>
      </c>
      <c r="U70" s="738">
        <f>'Gårdens info'!$D$22/('Gårdens info'!$D$10+'Gårdens info'!$D$11+'Gårdens info'!$D$12+'Gårdens info'!$D$13+'Gårdens info'!$D$22+'Gårdens info'!$D$23+'Gårdens info'!$D$24+'Gårdens info'!$D$25+'Gårdens info'!$D$26+'Gårdens info'!$D$27+'Gårdens info'!$D$28)</f>
        <v>0.20833333333333334</v>
      </c>
      <c r="V70" s="738">
        <f>'Gårdens info'!$D$23/('Gårdens info'!$D$10+'Gårdens info'!$D$11+'Gårdens info'!$D$12+'Gårdens info'!$D$13+'Gårdens info'!$D$22+'Gårdens info'!$D$23+'Gårdens info'!$D$24+'Gårdens info'!$D$25+'Gårdens info'!$D$26+'Gårdens info'!$D$27+'Gårdens info'!$D$28)</f>
        <v>4.1666666666666664E-2</v>
      </c>
      <c r="W70" s="738">
        <f>'Gårdens info'!$D$24/('Gårdens info'!$D$10+'Gårdens info'!$D$11+'Gårdens info'!$D$12+'Gårdens info'!$D$13+'Gårdens info'!$D$22+'Gårdens info'!$D$23+'Gårdens info'!$D$24+'Gårdens info'!$D$25+'Gårdens info'!$D$26+'Gårdens info'!$D$27+'Gårdens info'!$D$28)</f>
        <v>0.16666666666666666</v>
      </c>
      <c r="X70" s="738">
        <f>'Gårdens info'!$D$25/('Gårdens info'!$D$10+'Gårdens info'!$D$11+'Gårdens info'!$D$12+'Gårdens info'!$D$13+'Gårdens info'!$D$22+'Gårdens info'!$D$23+'Gårdens info'!$D$24+'Gårdens info'!$D$25+'Gårdens info'!$D$26+'Gårdens info'!$D$27+'Gårdens info'!$D$28)</f>
        <v>4.1666666666666664E-2</v>
      </c>
      <c r="Y70" s="738">
        <f>'Gårdens info'!$D$26/('Gårdens info'!$D$10+'Gårdens info'!$D$11+'Gårdens info'!$D$12+'Gårdens info'!$D$13+'Gårdens info'!$D$22+'Gårdens info'!$D$23+'Gårdens info'!$D$24+'Gårdens info'!$D$25+'Gårdens info'!$D$26+'Gårdens info'!$D$27+'Gårdens info'!$D$28)</f>
        <v>0.20833333333333334</v>
      </c>
      <c r="Z70" s="738">
        <f>'Gårdens info'!$D$27/('Gårdens info'!$D$10+'Gårdens info'!$D$11+'Gårdens info'!$D$12+'Gårdens info'!$D$13+'Gårdens info'!$D$22+'Gårdens info'!$D$23+'Gårdens info'!$D$24+'Gårdens info'!$D$25+'Gårdens info'!$D$26+'Gårdens info'!$D$27+'Gårdens info'!$D$28)</f>
        <v>4.1666666666666664E-2</v>
      </c>
      <c r="AA70" s="738">
        <f>'Gårdens info'!$D$28/('Gårdens info'!$D$10+'Gårdens info'!$D$11+'Gårdens info'!$D$12+'Gårdens info'!$D$13+'Gårdens info'!$D$22+'Gårdens info'!$D$23+'Gårdens info'!$D$24+'Gårdens info'!$D$25+'Gårdens info'!$D$26+'Gårdens info'!$D$27+'Gårdens info'!$D$28)</f>
        <v>0.125</v>
      </c>
      <c r="AB70" s="738">
        <v>0</v>
      </c>
      <c r="AC70" s="738">
        <v>0</v>
      </c>
      <c r="AD70" s="738">
        <v>0</v>
      </c>
      <c r="AE70" s="738">
        <v>0</v>
      </c>
      <c r="AF70" s="738">
        <v>0</v>
      </c>
      <c r="AG70" s="738">
        <v>0</v>
      </c>
      <c r="AH70" s="743">
        <f t="shared" si="205"/>
        <v>1</v>
      </c>
      <c r="AI70" s="741">
        <f t="shared" si="206"/>
        <v>0</v>
      </c>
      <c r="AJ70" s="740">
        <f t="shared" si="207"/>
        <v>0</v>
      </c>
      <c r="AK70" s="740">
        <f t="shared" si="208"/>
        <v>0</v>
      </c>
      <c r="AL70" s="740">
        <f t="shared" si="209"/>
        <v>0</v>
      </c>
      <c r="AM70" s="740">
        <f t="shared" si="197"/>
        <v>0</v>
      </c>
      <c r="AN70" s="740">
        <f t="shared" si="197"/>
        <v>0</v>
      </c>
      <c r="AO70" s="740">
        <f t="shared" si="197"/>
        <v>0</v>
      </c>
      <c r="AP70" s="740">
        <f t="shared" si="197"/>
        <v>0</v>
      </c>
      <c r="AQ70" s="740">
        <f t="shared" si="197"/>
        <v>0</v>
      </c>
      <c r="AR70" s="740">
        <f t="shared" si="210"/>
        <v>0</v>
      </c>
      <c r="AS70" s="740">
        <f t="shared" si="327"/>
        <v>0</v>
      </c>
      <c r="AT70" s="740">
        <f t="shared" si="327"/>
        <v>0</v>
      </c>
      <c r="AU70" s="740">
        <f t="shared" si="327"/>
        <v>0</v>
      </c>
      <c r="AV70" s="740">
        <f t="shared" si="214"/>
        <v>0</v>
      </c>
      <c r="AW70" s="740">
        <f t="shared" si="215"/>
        <v>0</v>
      </c>
      <c r="AX70" s="740">
        <f t="shared" si="216"/>
        <v>0</v>
      </c>
      <c r="AY70" s="740">
        <f t="shared" si="217"/>
        <v>0</v>
      </c>
      <c r="AZ70" s="740">
        <f t="shared" si="218"/>
        <v>0</v>
      </c>
      <c r="BA70" s="740">
        <f t="shared" si="219"/>
        <v>0</v>
      </c>
      <c r="BB70" s="740">
        <f t="shared" si="220"/>
        <v>0</v>
      </c>
      <c r="BC70" s="740">
        <f t="shared" si="221"/>
        <v>0</v>
      </c>
      <c r="BD70" s="740">
        <f t="shared" si="222"/>
        <v>0</v>
      </c>
      <c r="BE70" s="741">
        <f t="shared" si="223"/>
        <v>0</v>
      </c>
      <c r="BF70" s="740">
        <f t="shared" si="224"/>
        <v>0</v>
      </c>
      <c r="BG70" s="740">
        <f t="shared" si="225"/>
        <v>0</v>
      </c>
      <c r="BH70" s="740">
        <f t="shared" si="226"/>
        <v>0</v>
      </c>
      <c r="BI70" s="740">
        <f t="shared" si="199"/>
        <v>0</v>
      </c>
      <c r="BJ70" s="740">
        <f t="shared" si="199"/>
        <v>0</v>
      </c>
      <c r="BK70" s="740">
        <f t="shared" si="199"/>
        <v>0</v>
      </c>
      <c r="BL70" s="740">
        <f t="shared" si="199"/>
        <v>0</v>
      </c>
      <c r="BM70" s="740">
        <f t="shared" si="199"/>
        <v>0</v>
      </c>
      <c r="BN70" s="740">
        <f t="shared" si="227"/>
        <v>0</v>
      </c>
      <c r="BO70" s="740">
        <f t="shared" si="228"/>
        <v>0</v>
      </c>
      <c r="BP70" s="740">
        <f t="shared" si="229"/>
        <v>0</v>
      </c>
      <c r="BQ70" s="740">
        <f t="shared" si="230"/>
        <v>0</v>
      </c>
      <c r="BR70" s="740">
        <f t="shared" si="231"/>
        <v>0</v>
      </c>
      <c r="BS70" s="740">
        <f t="shared" si="232"/>
        <v>0</v>
      </c>
      <c r="BT70" s="740">
        <f t="shared" si="233"/>
        <v>0</v>
      </c>
      <c r="BU70" s="740">
        <f t="shared" si="234"/>
        <v>0</v>
      </c>
      <c r="BV70" s="740">
        <f t="shared" si="235"/>
        <v>0</v>
      </c>
      <c r="BW70" s="740">
        <f t="shared" si="236"/>
        <v>0</v>
      </c>
      <c r="BX70" s="740">
        <f t="shared" si="237"/>
        <v>0</v>
      </c>
      <c r="BY70" s="740">
        <f t="shared" si="238"/>
        <v>0</v>
      </c>
      <c r="BZ70" s="740">
        <f t="shared" si="239"/>
        <v>0</v>
      </c>
      <c r="CA70" s="741">
        <f t="shared" si="240"/>
        <v>1.0416666666666665</v>
      </c>
      <c r="CB70" s="740">
        <f t="shared" si="241"/>
        <v>1.0416666666666665</v>
      </c>
      <c r="CC70" s="740">
        <f t="shared" si="242"/>
        <v>1.0416666666666665</v>
      </c>
      <c r="CD70" s="740">
        <f t="shared" si="243"/>
        <v>1.0416666666666665</v>
      </c>
      <c r="CE70" s="740">
        <f t="shared" si="201"/>
        <v>0</v>
      </c>
      <c r="CF70" s="740">
        <f t="shared" si="201"/>
        <v>0</v>
      </c>
      <c r="CG70" s="740">
        <f t="shared" si="201"/>
        <v>0</v>
      </c>
      <c r="CH70" s="740">
        <f t="shared" si="201"/>
        <v>0</v>
      </c>
      <c r="CI70" s="740">
        <f t="shared" si="201"/>
        <v>0</v>
      </c>
      <c r="CJ70" s="740">
        <f t="shared" si="244"/>
        <v>5.2083333333333339</v>
      </c>
      <c r="CK70" s="740">
        <f t="shared" si="245"/>
        <v>1.0416666666666665</v>
      </c>
      <c r="CL70" s="740">
        <f t="shared" si="246"/>
        <v>4.1666666666666661</v>
      </c>
      <c r="CM70" s="740">
        <f t="shared" si="247"/>
        <v>1.0416666666666665</v>
      </c>
      <c r="CN70" s="740">
        <f t="shared" si="248"/>
        <v>5.2083333333333339</v>
      </c>
      <c r="CO70" s="740">
        <f t="shared" si="249"/>
        <v>1.0416666666666665</v>
      </c>
      <c r="CP70" s="740">
        <f t="shared" si="250"/>
        <v>3.125</v>
      </c>
      <c r="CQ70" s="740">
        <f t="shared" si="251"/>
        <v>0</v>
      </c>
      <c r="CR70" s="740">
        <f t="shared" si="252"/>
        <v>0</v>
      </c>
      <c r="CS70" s="740">
        <f t="shared" si="253"/>
        <v>0</v>
      </c>
      <c r="CT70" s="740">
        <f t="shared" si="254"/>
        <v>0</v>
      </c>
      <c r="CU70" s="740">
        <f t="shared" si="255"/>
        <v>0</v>
      </c>
      <c r="CV70" s="740">
        <f t="shared" si="256"/>
        <v>0</v>
      </c>
      <c r="CW70" s="741">
        <f t="shared" si="257"/>
        <v>4.1666666666666664E-2</v>
      </c>
      <c r="CX70" s="740">
        <f t="shared" si="258"/>
        <v>4.1666666666666664E-2</v>
      </c>
      <c r="CY70" s="740">
        <f t="shared" si="259"/>
        <v>4.1666666666666664E-2</v>
      </c>
      <c r="CZ70" s="740">
        <f t="shared" si="260"/>
        <v>4.1666666666666664E-2</v>
      </c>
      <c r="DA70" s="740">
        <f t="shared" si="203"/>
        <v>0</v>
      </c>
      <c r="DB70" s="740">
        <f t="shared" si="203"/>
        <v>0</v>
      </c>
      <c r="DC70" s="740">
        <f t="shared" si="203"/>
        <v>0</v>
      </c>
      <c r="DD70" s="740">
        <f t="shared" si="203"/>
        <v>0</v>
      </c>
      <c r="DE70" s="740">
        <f t="shared" si="203"/>
        <v>0</v>
      </c>
      <c r="DF70" s="740">
        <f t="shared" si="261"/>
        <v>0.20833333333333334</v>
      </c>
      <c r="DG70" s="740">
        <f t="shared" si="262"/>
        <v>4.1666666666666664E-2</v>
      </c>
      <c r="DH70" s="740">
        <f t="shared" si="263"/>
        <v>0.16666666666666666</v>
      </c>
      <c r="DI70" s="740">
        <f t="shared" si="264"/>
        <v>4.1666666666666664E-2</v>
      </c>
      <c r="DJ70" s="740">
        <f t="shared" si="265"/>
        <v>0.20833333333333334</v>
      </c>
      <c r="DK70" s="740">
        <f t="shared" si="266"/>
        <v>4.1666666666666664E-2</v>
      </c>
      <c r="DL70" s="740">
        <f t="shared" si="267"/>
        <v>0.125</v>
      </c>
      <c r="DM70" s="740">
        <f t="shared" si="268"/>
        <v>0</v>
      </c>
      <c r="DN70" s="740">
        <f t="shared" si="269"/>
        <v>0</v>
      </c>
      <c r="DO70" s="740">
        <f t="shared" si="270"/>
        <v>0</v>
      </c>
      <c r="DP70" s="740">
        <f t="shared" si="271"/>
        <v>0</v>
      </c>
      <c r="DQ70" s="740">
        <f t="shared" si="272"/>
        <v>0</v>
      </c>
      <c r="DR70" s="742">
        <f t="shared" si="273"/>
        <v>0</v>
      </c>
    </row>
    <row r="71" spans="1:122" s="732" customFormat="1" ht="13.8" thickBot="1" x14ac:dyDescent="0.3">
      <c r="B71" s="730" t="str">
        <f>'Gårdens info'!C119</f>
        <v>Växttunnel ram inkl. Uppsättning</v>
      </c>
      <c r="C71" s="754">
        <f>'Gårdens info'!D119</f>
        <v>5.5</v>
      </c>
      <c r="D71" s="755" t="s">
        <v>83</v>
      </c>
      <c r="E71" s="733">
        <f>'Gårdens info'!J119</f>
        <v>2020</v>
      </c>
      <c r="F71" s="751">
        <f>'Gårdens info'!G119</f>
        <v>5000</v>
      </c>
      <c r="G71" s="752" t="s">
        <v>84</v>
      </c>
      <c r="H71" s="753">
        <v>10</v>
      </c>
      <c r="I71" s="730">
        <f>C71*F71</f>
        <v>27500</v>
      </c>
      <c r="J71" s="735">
        <v>1</v>
      </c>
      <c r="K71" s="736">
        <v>1.05</v>
      </c>
      <c r="L71" s="737">
        <v>0</v>
      </c>
      <c r="M71" s="738">
        <v>0</v>
      </c>
      <c r="N71" s="738">
        <v>0</v>
      </c>
      <c r="O71" s="738">
        <v>0</v>
      </c>
      <c r="P71" s="738">
        <v>0</v>
      </c>
      <c r="Q71" s="738">
        <v>0</v>
      </c>
      <c r="R71" s="738">
        <v>0</v>
      </c>
      <c r="S71" s="738">
        <v>0</v>
      </c>
      <c r="T71" s="738">
        <v>0</v>
      </c>
      <c r="U71" s="738">
        <v>0</v>
      </c>
      <c r="V71" s="738">
        <f>'Gårdens info'!D23/('Gårdens info'!D23+'Gårdens info'!D25)</f>
        <v>0.5</v>
      </c>
      <c r="W71" s="738">
        <v>0</v>
      </c>
      <c r="X71" s="738">
        <f>'Gårdens info'!D25/('Gårdens info'!D23+'Gårdens info'!D25)</f>
        <v>0.5</v>
      </c>
      <c r="Y71" s="738">
        <v>0</v>
      </c>
      <c r="Z71" s="738">
        <v>0</v>
      </c>
      <c r="AA71" s="738">
        <v>0</v>
      </c>
      <c r="AB71" s="738">
        <v>0</v>
      </c>
      <c r="AC71" s="738">
        <v>0</v>
      </c>
      <c r="AD71" s="738">
        <v>0</v>
      </c>
      <c r="AE71" s="738">
        <v>0</v>
      </c>
      <c r="AF71" s="738">
        <v>0</v>
      </c>
      <c r="AG71" s="738">
        <v>0</v>
      </c>
      <c r="AH71" s="743">
        <f t="shared" si="205"/>
        <v>1</v>
      </c>
      <c r="AI71" s="741"/>
      <c r="AJ71" s="740"/>
      <c r="AK71" s="740"/>
      <c r="AL71" s="740"/>
      <c r="AM71" s="740"/>
      <c r="AN71" s="740"/>
      <c r="AO71" s="740"/>
      <c r="AP71" s="740"/>
      <c r="AQ71" s="740"/>
      <c r="AR71" s="740"/>
      <c r="AS71" s="740"/>
      <c r="AT71" s="740"/>
      <c r="AU71" s="740"/>
      <c r="AV71" s="740"/>
      <c r="AW71" s="740"/>
      <c r="AX71" s="740"/>
      <c r="AY71" s="740"/>
      <c r="AZ71" s="740"/>
      <c r="BA71" s="740"/>
      <c r="BB71" s="740"/>
      <c r="BC71" s="740"/>
      <c r="BD71" s="740"/>
      <c r="BE71" s="741"/>
      <c r="BF71" s="740"/>
      <c r="BG71" s="740"/>
      <c r="BH71" s="740"/>
      <c r="BI71" s="740"/>
      <c r="BJ71" s="740"/>
      <c r="BK71" s="740"/>
      <c r="BL71" s="740"/>
      <c r="BM71" s="740"/>
      <c r="BN71" s="740"/>
      <c r="BO71" s="740"/>
      <c r="BP71" s="740"/>
      <c r="BQ71" s="740"/>
      <c r="BR71" s="740"/>
      <c r="BS71" s="740"/>
      <c r="BT71" s="740"/>
      <c r="BU71" s="740"/>
      <c r="BV71" s="740"/>
      <c r="BW71" s="740"/>
      <c r="BX71" s="740"/>
      <c r="BY71" s="740"/>
      <c r="BZ71" s="740"/>
      <c r="CA71" s="741"/>
      <c r="CB71" s="740"/>
      <c r="CC71" s="740"/>
      <c r="CD71" s="740"/>
      <c r="CE71" s="740"/>
      <c r="CF71" s="740"/>
      <c r="CG71" s="740"/>
      <c r="CH71" s="740"/>
      <c r="CI71" s="740"/>
      <c r="CJ71" s="740"/>
      <c r="CK71" s="740"/>
      <c r="CL71" s="740"/>
      <c r="CM71" s="740"/>
      <c r="CN71" s="740"/>
      <c r="CO71" s="740"/>
      <c r="CP71" s="740"/>
      <c r="CQ71" s="740"/>
      <c r="CR71" s="740"/>
      <c r="CS71" s="740"/>
      <c r="CT71" s="740"/>
      <c r="CU71" s="740"/>
      <c r="CV71" s="740"/>
      <c r="CW71" s="741"/>
      <c r="CX71" s="740"/>
      <c r="CY71" s="740"/>
      <c r="CZ71" s="740"/>
      <c r="DA71" s="740"/>
      <c r="DB71" s="740"/>
      <c r="DC71" s="740"/>
      <c r="DD71" s="740"/>
      <c r="DE71" s="740"/>
      <c r="DF71" s="740"/>
      <c r="DG71" s="740"/>
      <c r="DH71" s="740"/>
      <c r="DI71" s="740"/>
      <c r="DJ71" s="740"/>
      <c r="DK71" s="740"/>
      <c r="DL71" s="740"/>
      <c r="DM71" s="740"/>
      <c r="DN71" s="740"/>
      <c r="DO71" s="740"/>
      <c r="DP71" s="740"/>
      <c r="DQ71" s="740"/>
      <c r="DR71" s="742"/>
    </row>
    <row r="72" spans="1:122" s="732" customFormat="1" ht="13.8" thickBot="1" x14ac:dyDescent="0.3">
      <c r="B72" s="730" t="str">
        <f>'Gårdens info'!C120</f>
        <v>Växttunnelplast</v>
      </c>
      <c r="C72" s="754">
        <f>'Gårdens info'!D120</f>
        <v>1</v>
      </c>
      <c r="D72" s="755" t="s">
        <v>83</v>
      </c>
      <c r="E72" s="733">
        <f>'Gårdens info'!J120</f>
        <v>2020</v>
      </c>
      <c r="F72" s="751">
        <f>'Gårdens info'!G120</f>
        <v>5000</v>
      </c>
      <c r="G72" s="752" t="s">
        <v>84</v>
      </c>
      <c r="H72" s="753">
        <v>5</v>
      </c>
      <c r="I72" s="730">
        <f t="shared" ref="I72" si="328">C72*F72</f>
        <v>5000</v>
      </c>
      <c r="J72" s="735">
        <v>2</v>
      </c>
      <c r="K72" s="736">
        <v>2.0499999999999998</v>
      </c>
      <c r="L72" s="737">
        <v>0</v>
      </c>
      <c r="M72" s="738">
        <v>0</v>
      </c>
      <c r="N72" s="738">
        <v>0</v>
      </c>
      <c r="O72" s="738">
        <v>0</v>
      </c>
      <c r="P72" s="738">
        <v>0</v>
      </c>
      <c r="Q72" s="738">
        <v>0</v>
      </c>
      <c r="R72" s="738">
        <v>0</v>
      </c>
      <c r="S72" s="738">
        <v>0</v>
      </c>
      <c r="T72" s="738">
        <v>0</v>
      </c>
      <c r="U72" s="738">
        <v>0</v>
      </c>
      <c r="V72" s="738">
        <f>'Gårdens info'!D23/('Gårdens info'!D23+'Gårdens info'!D25)</f>
        <v>0.5</v>
      </c>
      <c r="W72" s="738">
        <v>0</v>
      </c>
      <c r="X72" s="738">
        <f>'Gårdens info'!D25/('Gårdens info'!D23+'Gårdens info'!D25)</f>
        <v>0.5</v>
      </c>
      <c r="Y72" s="738">
        <v>0</v>
      </c>
      <c r="Z72" s="738">
        <v>0</v>
      </c>
      <c r="AA72" s="738">
        <v>0</v>
      </c>
      <c r="AB72" s="738">
        <v>0</v>
      </c>
      <c r="AC72" s="738">
        <v>0</v>
      </c>
      <c r="AD72" s="738">
        <v>0</v>
      </c>
      <c r="AE72" s="738">
        <v>0</v>
      </c>
      <c r="AF72" s="738">
        <v>0</v>
      </c>
      <c r="AG72" s="738">
        <v>0</v>
      </c>
      <c r="AH72" s="743">
        <f t="shared" si="205"/>
        <v>1</v>
      </c>
      <c r="AI72" s="741"/>
      <c r="AJ72" s="740"/>
      <c r="AK72" s="740"/>
      <c r="AL72" s="740"/>
      <c r="AM72" s="740"/>
      <c r="AN72" s="740"/>
      <c r="AO72" s="740"/>
      <c r="AP72" s="740"/>
      <c r="AQ72" s="740"/>
      <c r="AR72" s="740"/>
      <c r="AS72" s="740"/>
      <c r="AT72" s="740"/>
      <c r="AU72" s="740"/>
      <c r="AV72" s="740"/>
      <c r="AW72" s="740"/>
      <c r="AX72" s="740"/>
      <c r="AY72" s="740"/>
      <c r="AZ72" s="740"/>
      <c r="BA72" s="740"/>
      <c r="BB72" s="740"/>
      <c r="BC72" s="740"/>
      <c r="BD72" s="740"/>
      <c r="BE72" s="741"/>
      <c r="BF72" s="740"/>
      <c r="BG72" s="740"/>
      <c r="BH72" s="740"/>
      <c r="BI72" s="740"/>
      <c r="BJ72" s="740"/>
      <c r="BK72" s="740"/>
      <c r="BL72" s="740"/>
      <c r="BM72" s="740"/>
      <c r="BN72" s="740"/>
      <c r="BO72" s="740"/>
      <c r="BP72" s="740"/>
      <c r="BQ72" s="740"/>
      <c r="BR72" s="740"/>
      <c r="BS72" s="740"/>
      <c r="BT72" s="740"/>
      <c r="BU72" s="740"/>
      <c r="BV72" s="740"/>
      <c r="BW72" s="740"/>
      <c r="BX72" s="740"/>
      <c r="BY72" s="740"/>
      <c r="BZ72" s="740"/>
      <c r="CA72" s="741"/>
      <c r="CB72" s="740"/>
      <c r="CC72" s="740"/>
      <c r="CD72" s="740"/>
      <c r="CE72" s="740"/>
      <c r="CF72" s="740"/>
      <c r="CG72" s="740"/>
      <c r="CH72" s="740"/>
      <c r="CI72" s="740"/>
      <c r="CJ72" s="740"/>
      <c r="CK72" s="740"/>
      <c r="CL72" s="740"/>
      <c r="CM72" s="740"/>
      <c r="CN72" s="740"/>
      <c r="CO72" s="740"/>
      <c r="CP72" s="740"/>
      <c r="CQ72" s="740"/>
      <c r="CR72" s="740"/>
      <c r="CS72" s="740"/>
      <c r="CT72" s="740"/>
      <c r="CU72" s="740"/>
      <c r="CV72" s="740"/>
      <c r="CW72" s="741"/>
      <c r="CX72" s="740"/>
      <c r="CY72" s="740"/>
      <c r="CZ72" s="740"/>
      <c r="DA72" s="740"/>
      <c r="DB72" s="740"/>
      <c r="DC72" s="740"/>
      <c r="DD72" s="740"/>
      <c r="DE72" s="740"/>
      <c r="DF72" s="740"/>
      <c r="DG72" s="740"/>
      <c r="DH72" s="740"/>
      <c r="DI72" s="740"/>
      <c r="DJ72" s="740"/>
      <c r="DK72" s="740"/>
      <c r="DL72" s="740"/>
      <c r="DM72" s="740"/>
      <c r="DN72" s="740"/>
      <c r="DO72" s="740"/>
      <c r="DP72" s="740"/>
      <c r="DQ72" s="740"/>
      <c r="DR72" s="742"/>
    </row>
    <row r="73" spans="1:122" s="732" customFormat="1" ht="13.05" customHeight="1" thickBot="1" x14ac:dyDescent="0.3">
      <c r="B73" s="730" t="str">
        <f>'Gårdens info'!C121</f>
        <v>trädgårdsproduktionsmedel X</v>
      </c>
      <c r="C73" s="733">
        <f>'Gårdens info'!D121</f>
        <v>0</v>
      </c>
      <c r="D73" s="734" t="s">
        <v>7</v>
      </c>
      <c r="E73" s="733">
        <f>'Gårdens info'!J121</f>
        <v>0</v>
      </c>
      <c r="F73" s="751">
        <f>'Gårdens info'!G121</f>
        <v>1</v>
      </c>
      <c r="G73" s="752" t="s">
        <v>15</v>
      </c>
      <c r="H73" s="753">
        <v>10</v>
      </c>
      <c r="I73" s="730">
        <f t="shared" si="274"/>
        <v>0</v>
      </c>
      <c r="J73" s="735">
        <v>0</v>
      </c>
      <c r="K73" s="736">
        <v>0.05</v>
      </c>
      <c r="L73" s="738">
        <f>'Gårdens info'!$D$10/('Gårdens info'!$D$10+'Gårdens info'!$D$11+'Gårdens info'!$D$12+'Gårdens info'!$D$13+'Gårdens info'!$D$22+'Gårdens info'!$D$23+'Gårdens info'!$D$24+'Gårdens info'!$D$25+'Gårdens info'!$D$26+'Gårdens info'!$D$27+'Gårdens info'!$D$28)</f>
        <v>4.1666666666666664E-2</v>
      </c>
      <c r="M73" s="738">
        <f>'Gårdens info'!$D$11/('Gårdens info'!$D$10+'Gårdens info'!$D$11+'Gårdens info'!$D$12+'Gårdens info'!$D$13+'Gårdens info'!$D$22+'Gårdens info'!$D$23+'Gårdens info'!$D$24+'Gårdens info'!$D$25+'Gårdens info'!$D$26+'Gårdens info'!$D$27+'Gårdens info'!$D$28)</f>
        <v>4.1666666666666664E-2</v>
      </c>
      <c r="N73" s="738">
        <f>'Gårdens info'!$D$12/('Gårdens info'!$D$10+'Gårdens info'!$D$11+'Gårdens info'!$D$12+'Gårdens info'!$D$13+'Gårdens info'!$D$22+'Gårdens info'!$D$23+'Gårdens info'!$D$24+'Gårdens info'!$D$25+'Gårdens info'!$D$26+'Gårdens info'!$D$27+'Gårdens info'!$D$28)</f>
        <v>4.1666666666666664E-2</v>
      </c>
      <c r="O73" s="738">
        <f>'Gårdens info'!$D$13/('Gårdens info'!$D$10+'Gårdens info'!$D$11+'Gårdens info'!$D$12+'Gårdens info'!$D$13+'Gårdens info'!$D$22+'Gårdens info'!$D$23+'Gårdens info'!$D$24+'Gårdens info'!$D$25+'Gårdens info'!$D$26+'Gårdens info'!$D$27+'Gårdens info'!$D$28)</f>
        <v>4.1666666666666664E-2</v>
      </c>
      <c r="P73" s="738">
        <f>'Gårdens info'!$D$14/('Gårdens info'!$D$10+'Gårdens info'!$D$11+'Gårdens info'!$D$12+'Gårdens info'!$D$13+'Gårdens info'!$D$22+'Gårdens info'!$D$23+'Gårdens info'!$D$24+'Gårdens info'!$D$25+'Gårdens info'!$D$26+'Gårdens info'!$D$27+'Gårdens info'!$D$28)</f>
        <v>0</v>
      </c>
      <c r="Q73" s="738">
        <f>'Gårdens info'!$D$15/('Gårdens info'!$D$10+'Gårdens info'!$D$11+'Gårdens info'!$D$12+'Gårdens info'!$D$13+'Gårdens info'!$D$22+'Gårdens info'!$D$23+'Gårdens info'!$D$24+'Gårdens info'!$D$25+'Gårdens info'!$D$26+'Gårdens info'!$D$27+'Gårdens info'!$D$28)</f>
        <v>0</v>
      </c>
      <c r="R73" s="738">
        <f>'Gårdens info'!$D$16/('Gårdens info'!$D$10+'Gårdens info'!$D$11+'Gårdens info'!$D$12+'Gårdens info'!$D$13+'Gårdens info'!$D$22+'Gårdens info'!$D$23+'Gårdens info'!$D$24+'Gårdens info'!$D$25+'Gårdens info'!$D$26+'Gårdens info'!$D$27+'Gårdens info'!$D$28)</f>
        <v>0</v>
      </c>
      <c r="S73" s="738">
        <f>'Gårdens info'!$D$17/('Gårdens info'!$D$10+'Gårdens info'!$D$11+'Gårdens info'!$D$12+'Gårdens info'!$D$13+'Gårdens info'!$D$22+'Gårdens info'!$D$23+'Gårdens info'!$D$24+'Gårdens info'!$D$25+'Gårdens info'!$D$26+'Gårdens info'!$D$27+'Gårdens info'!$D$28)</f>
        <v>0</v>
      </c>
      <c r="T73" s="738">
        <f>'Gårdens info'!$D$18/('Gårdens info'!$D$10+'Gårdens info'!$D$11+'Gårdens info'!$D$12+'Gårdens info'!$D$13+'Gårdens info'!$D$22+'Gårdens info'!$D$23+'Gårdens info'!$D$24+'Gårdens info'!$D$25+'Gårdens info'!$D$26+'Gårdens info'!$D$27+'Gårdens info'!$D$28)</f>
        <v>0</v>
      </c>
      <c r="U73" s="738">
        <f>'Gårdens info'!$D$22/('Gårdens info'!$D$10+'Gårdens info'!$D$11+'Gårdens info'!$D$12+'Gårdens info'!$D$13+'Gårdens info'!$D$22+'Gårdens info'!$D$23+'Gårdens info'!$D$24+'Gårdens info'!$D$25+'Gårdens info'!$D$26+'Gårdens info'!$D$27+'Gårdens info'!$D$28)</f>
        <v>0.20833333333333334</v>
      </c>
      <c r="V73" s="738">
        <f>'Gårdens info'!$D$23/('Gårdens info'!$D$10+'Gårdens info'!$D$11+'Gårdens info'!$D$12+'Gårdens info'!$D$13+'Gårdens info'!$D$22+'Gårdens info'!$D$23+'Gårdens info'!$D$24+'Gårdens info'!$D$25+'Gårdens info'!$D$26+'Gårdens info'!$D$27+'Gårdens info'!$D$28)</f>
        <v>4.1666666666666664E-2</v>
      </c>
      <c r="W73" s="738">
        <f>'Gårdens info'!$D$24/('Gårdens info'!$D$10+'Gårdens info'!$D$11+'Gårdens info'!$D$12+'Gårdens info'!$D$13+'Gårdens info'!$D$22+'Gårdens info'!$D$23+'Gårdens info'!$D$24+'Gårdens info'!$D$25+'Gårdens info'!$D$26+'Gårdens info'!$D$27+'Gårdens info'!$D$28)</f>
        <v>0.16666666666666666</v>
      </c>
      <c r="X73" s="738">
        <f>'Gårdens info'!$D$25/('Gårdens info'!$D$10+'Gårdens info'!$D$11+'Gårdens info'!$D$12+'Gårdens info'!$D$13+'Gårdens info'!$D$22+'Gårdens info'!$D$23+'Gårdens info'!$D$24+'Gårdens info'!$D$25+'Gårdens info'!$D$26+'Gårdens info'!$D$27+'Gårdens info'!$D$28)</f>
        <v>4.1666666666666664E-2</v>
      </c>
      <c r="Y73" s="738">
        <f>'Gårdens info'!$D$26/('Gårdens info'!$D$10+'Gårdens info'!$D$11+'Gårdens info'!$D$12+'Gårdens info'!$D$13+'Gårdens info'!$D$22+'Gårdens info'!$D$23+'Gårdens info'!$D$24+'Gårdens info'!$D$25+'Gårdens info'!$D$26+'Gårdens info'!$D$27+'Gårdens info'!$D$28)</f>
        <v>0.20833333333333334</v>
      </c>
      <c r="Z73" s="738">
        <f>'Gårdens info'!$D$27/('Gårdens info'!$D$10+'Gårdens info'!$D$11+'Gårdens info'!$D$12+'Gårdens info'!$D$13+'Gårdens info'!$D$22+'Gårdens info'!$D$23+'Gårdens info'!$D$24+'Gårdens info'!$D$25+'Gårdens info'!$D$26+'Gårdens info'!$D$27+'Gårdens info'!$D$28)</f>
        <v>4.1666666666666664E-2</v>
      </c>
      <c r="AA73" s="738">
        <f>'Gårdens info'!$D$28/('Gårdens info'!$D$10+'Gårdens info'!$D$11+'Gårdens info'!$D$12+'Gårdens info'!$D$13+'Gårdens info'!$D$22+'Gårdens info'!$D$23+'Gårdens info'!$D$24+'Gårdens info'!$D$25+'Gårdens info'!$D$26+'Gårdens info'!$D$27+'Gårdens info'!$D$28)</f>
        <v>0.125</v>
      </c>
      <c r="AB73" s="738">
        <v>0</v>
      </c>
      <c r="AC73" s="738">
        <v>0</v>
      </c>
      <c r="AD73" s="738">
        <v>0</v>
      </c>
      <c r="AE73" s="738">
        <v>0</v>
      </c>
      <c r="AF73" s="738">
        <v>0</v>
      </c>
      <c r="AG73" s="738">
        <v>0</v>
      </c>
      <c r="AH73" s="743">
        <f t="shared" si="205"/>
        <v>1</v>
      </c>
      <c r="AI73" s="741">
        <f t="shared" si="206"/>
        <v>0</v>
      </c>
      <c r="AJ73" s="740">
        <f t="shared" si="207"/>
        <v>0</v>
      </c>
      <c r="AK73" s="740">
        <f t="shared" ref="AK73:AL75" si="329">IF((($C$7-$E73)&lt;=$H73),(($I73-$J73)/$H73*N73),0)</f>
        <v>0</v>
      </c>
      <c r="AL73" s="740">
        <f t="shared" si="329"/>
        <v>0</v>
      </c>
      <c r="AM73" s="740">
        <f t="shared" ref="AM73:AQ75" si="330">IF((($C$7-$E73)&lt;=$H73),(($I73-$J73)/$H73*P73),0)</f>
        <v>0</v>
      </c>
      <c r="AN73" s="740">
        <f t="shared" si="330"/>
        <v>0</v>
      </c>
      <c r="AO73" s="740">
        <f t="shared" si="330"/>
        <v>0</v>
      </c>
      <c r="AP73" s="740">
        <f t="shared" si="330"/>
        <v>0</v>
      </c>
      <c r="AQ73" s="740">
        <f t="shared" si="330"/>
        <v>0</v>
      </c>
      <c r="AR73" s="740">
        <f t="shared" si="210"/>
        <v>0</v>
      </c>
      <c r="AS73" s="740">
        <f t="shared" ref="AS73:AU75" si="331">IF((($C$7-$E73)&lt;=$H73),(($I73-$J73)/$H73*V73),0)</f>
        <v>0</v>
      </c>
      <c r="AT73" s="740">
        <f t="shared" si="331"/>
        <v>0</v>
      </c>
      <c r="AU73" s="740">
        <f t="shared" si="331"/>
        <v>0</v>
      </c>
      <c r="AV73" s="740">
        <f t="shared" si="214"/>
        <v>0</v>
      </c>
      <c r="AW73" s="740">
        <f t="shared" si="215"/>
        <v>0</v>
      </c>
      <c r="AX73" s="740">
        <f t="shared" si="216"/>
        <v>0</v>
      </c>
      <c r="AY73" s="740">
        <f t="shared" si="217"/>
        <v>0</v>
      </c>
      <c r="AZ73" s="740">
        <f t="shared" si="218"/>
        <v>0</v>
      </c>
      <c r="BA73" s="740">
        <f t="shared" ref="BA73:BB75" si="332">IF((($C$7-$E73)&lt;=$H73),(($I73-$J73)/$H73*AD73),0)</f>
        <v>0</v>
      </c>
      <c r="BB73" s="740">
        <f t="shared" si="332"/>
        <v>0</v>
      </c>
      <c r="BC73" s="740">
        <f t="shared" si="221"/>
        <v>0</v>
      </c>
      <c r="BD73" s="740">
        <f t="shared" si="222"/>
        <v>0</v>
      </c>
      <c r="BE73" s="741">
        <f t="shared" si="223"/>
        <v>0</v>
      </c>
      <c r="BF73" s="740">
        <f t="shared" si="224"/>
        <v>0</v>
      </c>
      <c r="BG73" s="740">
        <f t="shared" ref="BG73:BH75" si="333">IF(($C$7-$E73&lt;=$H73),(($I73+$J73)/2*$C$8*N73),0)</f>
        <v>0</v>
      </c>
      <c r="BH73" s="740">
        <f t="shared" si="333"/>
        <v>0</v>
      </c>
      <c r="BI73" s="740">
        <f t="shared" ref="BI73:BM75" si="334">IF(($C$7-$E73&lt;=$H73),(($I73+$J73)/2*$C$8*P73),0)</f>
        <v>0</v>
      </c>
      <c r="BJ73" s="740">
        <f t="shared" si="334"/>
        <v>0</v>
      </c>
      <c r="BK73" s="740">
        <f t="shared" si="334"/>
        <v>0</v>
      </c>
      <c r="BL73" s="740">
        <f t="shared" si="334"/>
        <v>0</v>
      </c>
      <c r="BM73" s="740">
        <f t="shared" si="334"/>
        <v>0</v>
      </c>
      <c r="BN73" s="740">
        <f t="shared" si="227"/>
        <v>0</v>
      </c>
      <c r="BO73" s="740">
        <f t="shared" si="228"/>
        <v>0</v>
      </c>
      <c r="BP73" s="740">
        <f t="shared" si="229"/>
        <v>0</v>
      </c>
      <c r="BQ73" s="740">
        <f t="shared" si="230"/>
        <v>0</v>
      </c>
      <c r="BR73" s="740">
        <f t="shared" si="231"/>
        <v>0</v>
      </c>
      <c r="BS73" s="740">
        <f t="shared" si="232"/>
        <v>0</v>
      </c>
      <c r="BT73" s="740">
        <f t="shared" si="233"/>
        <v>0</v>
      </c>
      <c r="BU73" s="740">
        <f t="shared" si="234"/>
        <v>0</v>
      </c>
      <c r="BV73" s="740">
        <f t="shared" si="235"/>
        <v>0</v>
      </c>
      <c r="BW73" s="740">
        <f t="shared" ref="BW73:BX75" si="335">IF(($C$7-$E73&lt;=$H73),(($I73+$J73)/2*$C$8*AD73),0)</f>
        <v>0</v>
      </c>
      <c r="BX73" s="740">
        <f t="shared" si="335"/>
        <v>0</v>
      </c>
      <c r="BY73" s="740">
        <f t="shared" si="238"/>
        <v>0</v>
      </c>
      <c r="BZ73" s="740">
        <f t="shared" si="239"/>
        <v>0</v>
      </c>
      <c r="CA73" s="741">
        <f t="shared" si="240"/>
        <v>0</v>
      </c>
      <c r="CB73" s="740">
        <f t="shared" si="241"/>
        <v>0</v>
      </c>
      <c r="CC73" s="740">
        <f t="shared" ref="CC73:CD75" si="336">$I73*$K73*N73</f>
        <v>0</v>
      </c>
      <c r="CD73" s="740">
        <f t="shared" si="336"/>
        <v>0</v>
      </c>
      <c r="CE73" s="740">
        <f t="shared" ref="CE73:CI75" si="337">$I73*$K73*P73</f>
        <v>0</v>
      </c>
      <c r="CF73" s="740">
        <f t="shared" si="337"/>
        <v>0</v>
      </c>
      <c r="CG73" s="740">
        <f t="shared" si="337"/>
        <v>0</v>
      </c>
      <c r="CH73" s="740">
        <f t="shared" si="337"/>
        <v>0</v>
      </c>
      <c r="CI73" s="740">
        <f t="shared" si="337"/>
        <v>0</v>
      </c>
      <c r="CJ73" s="740">
        <f t="shared" si="244"/>
        <v>0</v>
      </c>
      <c r="CK73" s="740">
        <f t="shared" si="245"/>
        <v>0</v>
      </c>
      <c r="CL73" s="740">
        <f t="shared" si="246"/>
        <v>0</v>
      </c>
      <c r="CM73" s="740">
        <f t="shared" si="247"/>
        <v>0</v>
      </c>
      <c r="CN73" s="740">
        <f t="shared" si="248"/>
        <v>0</v>
      </c>
      <c r="CO73" s="740">
        <f t="shared" si="249"/>
        <v>0</v>
      </c>
      <c r="CP73" s="740">
        <f t="shared" si="250"/>
        <v>0</v>
      </c>
      <c r="CQ73" s="740">
        <f t="shared" si="251"/>
        <v>0</v>
      </c>
      <c r="CR73" s="740">
        <f t="shared" si="252"/>
        <v>0</v>
      </c>
      <c r="CS73" s="740">
        <f t="shared" ref="CS73:CT75" si="338">$I73*$K73*AD73</f>
        <v>0</v>
      </c>
      <c r="CT73" s="740">
        <f t="shared" si="338"/>
        <v>0</v>
      </c>
      <c r="CU73" s="740">
        <f t="shared" si="255"/>
        <v>0</v>
      </c>
      <c r="CV73" s="740">
        <f t="shared" si="256"/>
        <v>0</v>
      </c>
      <c r="CW73" s="741">
        <f t="shared" si="257"/>
        <v>0</v>
      </c>
      <c r="CX73" s="740">
        <f t="shared" si="258"/>
        <v>0</v>
      </c>
      <c r="CY73" s="740">
        <f t="shared" ref="CY73:CZ75" si="339">$I73*$C$9*N73</f>
        <v>0</v>
      </c>
      <c r="CZ73" s="740">
        <f t="shared" si="339"/>
        <v>0</v>
      </c>
      <c r="DA73" s="740">
        <f t="shared" ref="DA73:DE75" si="340">$I73*$C$9*P73</f>
        <v>0</v>
      </c>
      <c r="DB73" s="740">
        <f t="shared" si="340"/>
        <v>0</v>
      </c>
      <c r="DC73" s="740">
        <f t="shared" si="340"/>
        <v>0</v>
      </c>
      <c r="DD73" s="740">
        <f t="shared" si="340"/>
        <v>0</v>
      </c>
      <c r="DE73" s="740">
        <f t="shared" si="340"/>
        <v>0</v>
      </c>
      <c r="DF73" s="740">
        <f t="shared" si="261"/>
        <v>0</v>
      </c>
      <c r="DG73" s="740">
        <f t="shared" si="262"/>
        <v>0</v>
      </c>
      <c r="DH73" s="740">
        <f t="shared" si="263"/>
        <v>0</v>
      </c>
      <c r="DI73" s="740">
        <f t="shared" si="264"/>
        <v>0</v>
      </c>
      <c r="DJ73" s="740">
        <f t="shared" si="265"/>
        <v>0</v>
      </c>
      <c r="DK73" s="740">
        <f t="shared" si="266"/>
        <v>0</v>
      </c>
      <c r="DL73" s="740">
        <f t="shared" si="267"/>
        <v>0</v>
      </c>
      <c r="DM73" s="740">
        <f t="shared" si="268"/>
        <v>0</v>
      </c>
      <c r="DN73" s="740">
        <f t="shared" si="269"/>
        <v>0</v>
      </c>
      <c r="DO73" s="740">
        <f t="shared" ref="DO73:DP75" si="341">$I73*$C$9*AD73</f>
        <v>0</v>
      </c>
      <c r="DP73" s="740">
        <f t="shared" si="341"/>
        <v>0</v>
      </c>
      <c r="DQ73" s="740">
        <f t="shared" si="272"/>
        <v>0</v>
      </c>
      <c r="DR73" s="742">
        <f t="shared" si="273"/>
        <v>0</v>
      </c>
    </row>
    <row r="74" spans="1:122" s="732" customFormat="1" ht="13.8" thickBot="1" x14ac:dyDescent="0.3">
      <c r="B74" s="730" t="str">
        <f>'Gårdens info'!C122</f>
        <v>trädgårdsproduktionsmedel X</v>
      </c>
      <c r="C74" s="733">
        <f>'Gårdens info'!D122</f>
        <v>0</v>
      </c>
      <c r="D74" s="734" t="s">
        <v>7</v>
      </c>
      <c r="E74" s="733">
        <f>'Gårdens info'!J122</f>
        <v>0</v>
      </c>
      <c r="F74" s="751">
        <f>'Gårdens info'!G122</f>
        <v>1</v>
      </c>
      <c r="G74" s="752" t="s">
        <v>15</v>
      </c>
      <c r="H74" s="753">
        <v>10</v>
      </c>
      <c r="I74" s="730">
        <f t="shared" si="274"/>
        <v>0</v>
      </c>
      <c r="J74" s="735">
        <v>0</v>
      </c>
      <c r="K74" s="736">
        <v>0.05</v>
      </c>
      <c r="L74" s="738">
        <f>'Gårdens info'!$D$10/('Gårdens info'!$D$10+'Gårdens info'!$D$11+'Gårdens info'!$D$12+'Gårdens info'!$D$13+'Gårdens info'!$D$22+'Gårdens info'!$D$23+'Gårdens info'!$D$24+'Gårdens info'!$D$25+'Gårdens info'!$D$26+'Gårdens info'!$D$27+'Gårdens info'!$D$28)</f>
        <v>4.1666666666666664E-2</v>
      </c>
      <c r="M74" s="738">
        <f>'Gårdens info'!$D$11/('Gårdens info'!$D$10+'Gårdens info'!$D$11+'Gårdens info'!$D$12+'Gårdens info'!$D$13+'Gårdens info'!$D$22+'Gårdens info'!$D$23+'Gårdens info'!$D$24+'Gårdens info'!$D$25+'Gårdens info'!$D$26+'Gårdens info'!$D$27+'Gårdens info'!$D$28)</f>
        <v>4.1666666666666664E-2</v>
      </c>
      <c r="N74" s="738">
        <f>'Gårdens info'!$D$12/('Gårdens info'!$D$10+'Gårdens info'!$D$11+'Gårdens info'!$D$12+'Gårdens info'!$D$13+'Gårdens info'!$D$22+'Gårdens info'!$D$23+'Gårdens info'!$D$24+'Gårdens info'!$D$25+'Gårdens info'!$D$26+'Gårdens info'!$D$27+'Gårdens info'!$D$28)</f>
        <v>4.1666666666666664E-2</v>
      </c>
      <c r="O74" s="738">
        <f>'Gårdens info'!$D$13/('Gårdens info'!$D$10+'Gårdens info'!$D$11+'Gårdens info'!$D$12+'Gårdens info'!$D$13+'Gårdens info'!$D$22+'Gårdens info'!$D$23+'Gårdens info'!$D$24+'Gårdens info'!$D$25+'Gårdens info'!$D$26+'Gårdens info'!$D$27+'Gårdens info'!$D$28)</f>
        <v>4.1666666666666664E-2</v>
      </c>
      <c r="P74" s="738">
        <f>'Gårdens info'!$D$14/('Gårdens info'!$D$10+'Gårdens info'!$D$11+'Gårdens info'!$D$12+'Gårdens info'!$D$13+'Gårdens info'!$D$22+'Gårdens info'!$D$23+'Gårdens info'!$D$24+'Gårdens info'!$D$25+'Gårdens info'!$D$26+'Gårdens info'!$D$27+'Gårdens info'!$D$28)</f>
        <v>0</v>
      </c>
      <c r="Q74" s="738">
        <f>'Gårdens info'!$D$15/('Gårdens info'!$D$10+'Gårdens info'!$D$11+'Gårdens info'!$D$12+'Gårdens info'!$D$13+'Gårdens info'!$D$22+'Gårdens info'!$D$23+'Gårdens info'!$D$24+'Gårdens info'!$D$25+'Gårdens info'!$D$26+'Gårdens info'!$D$27+'Gårdens info'!$D$28)</f>
        <v>0</v>
      </c>
      <c r="R74" s="738">
        <f>'Gårdens info'!$D$16/('Gårdens info'!$D$10+'Gårdens info'!$D$11+'Gårdens info'!$D$12+'Gårdens info'!$D$13+'Gårdens info'!$D$22+'Gårdens info'!$D$23+'Gårdens info'!$D$24+'Gårdens info'!$D$25+'Gårdens info'!$D$26+'Gårdens info'!$D$27+'Gårdens info'!$D$28)</f>
        <v>0</v>
      </c>
      <c r="S74" s="738">
        <f>'Gårdens info'!$D$17/('Gårdens info'!$D$10+'Gårdens info'!$D$11+'Gårdens info'!$D$12+'Gårdens info'!$D$13+'Gårdens info'!$D$22+'Gårdens info'!$D$23+'Gårdens info'!$D$24+'Gårdens info'!$D$25+'Gårdens info'!$D$26+'Gårdens info'!$D$27+'Gårdens info'!$D$28)</f>
        <v>0</v>
      </c>
      <c r="T74" s="738">
        <f>'Gårdens info'!$D$18/('Gårdens info'!$D$10+'Gårdens info'!$D$11+'Gårdens info'!$D$12+'Gårdens info'!$D$13+'Gårdens info'!$D$22+'Gårdens info'!$D$23+'Gårdens info'!$D$24+'Gårdens info'!$D$25+'Gårdens info'!$D$26+'Gårdens info'!$D$27+'Gårdens info'!$D$28)</f>
        <v>0</v>
      </c>
      <c r="U74" s="738">
        <f>'Gårdens info'!$D$22/('Gårdens info'!$D$10+'Gårdens info'!$D$11+'Gårdens info'!$D$12+'Gårdens info'!$D$13+'Gårdens info'!$D$22+'Gårdens info'!$D$23+'Gårdens info'!$D$24+'Gårdens info'!$D$25+'Gårdens info'!$D$26+'Gårdens info'!$D$27+'Gårdens info'!$D$28)</f>
        <v>0.20833333333333334</v>
      </c>
      <c r="V74" s="738">
        <f>'Gårdens info'!$D$23/('Gårdens info'!$D$10+'Gårdens info'!$D$11+'Gårdens info'!$D$12+'Gårdens info'!$D$13+'Gårdens info'!$D$22+'Gårdens info'!$D$23+'Gårdens info'!$D$24+'Gårdens info'!$D$25+'Gårdens info'!$D$26+'Gårdens info'!$D$27+'Gårdens info'!$D$28)</f>
        <v>4.1666666666666664E-2</v>
      </c>
      <c r="W74" s="738">
        <f>'Gårdens info'!$D$24/('Gårdens info'!$D$10+'Gårdens info'!$D$11+'Gårdens info'!$D$12+'Gårdens info'!$D$13+'Gårdens info'!$D$22+'Gårdens info'!$D$23+'Gårdens info'!$D$24+'Gårdens info'!$D$25+'Gårdens info'!$D$26+'Gårdens info'!$D$27+'Gårdens info'!$D$28)</f>
        <v>0.16666666666666666</v>
      </c>
      <c r="X74" s="738">
        <f>'Gårdens info'!$D$25/('Gårdens info'!$D$10+'Gårdens info'!$D$11+'Gårdens info'!$D$12+'Gårdens info'!$D$13+'Gårdens info'!$D$22+'Gårdens info'!$D$23+'Gårdens info'!$D$24+'Gårdens info'!$D$25+'Gårdens info'!$D$26+'Gårdens info'!$D$27+'Gårdens info'!$D$28)</f>
        <v>4.1666666666666664E-2</v>
      </c>
      <c r="Y74" s="738">
        <f>'Gårdens info'!$D$26/('Gårdens info'!$D$10+'Gårdens info'!$D$11+'Gårdens info'!$D$12+'Gårdens info'!$D$13+'Gårdens info'!$D$22+'Gårdens info'!$D$23+'Gårdens info'!$D$24+'Gårdens info'!$D$25+'Gårdens info'!$D$26+'Gårdens info'!$D$27+'Gårdens info'!$D$28)</f>
        <v>0.20833333333333334</v>
      </c>
      <c r="Z74" s="738">
        <f>'Gårdens info'!$D$27/('Gårdens info'!$D$10+'Gårdens info'!$D$11+'Gårdens info'!$D$12+'Gårdens info'!$D$13+'Gårdens info'!$D$22+'Gårdens info'!$D$23+'Gårdens info'!$D$24+'Gårdens info'!$D$25+'Gårdens info'!$D$26+'Gårdens info'!$D$27+'Gårdens info'!$D$28)</f>
        <v>4.1666666666666664E-2</v>
      </c>
      <c r="AA74" s="738">
        <f>'Gårdens info'!$D$28/('Gårdens info'!$D$10+'Gårdens info'!$D$11+'Gårdens info'!$D$12+'Gårdens info'!$D$13+'Gårdens info'!$D$22+'Gårdens info'!$D$23+'Gårdens info'!$D$24+'Gårdens info'!$D$25+'Gårdens info'!$D$26+'Gårdens info'!$D$27+'Gårdens info'!$D$28)</f>
        <v>0.125</v>
      </c>
      <c r="AB74" s="738">
        <v>0</v>
      </c>
      <c r="AC74" s="738">
        <v>0</v>
      </c>
      <c r="AD74" s="738">
        <v>0</v>
      </c>
      <c r="AE74" s="738">
        <v>0</v>
      </c>
      <c r="AF74" s="738">
        <v>0</v>
      </c>
      <c r="AG74" s="738">
        <v>0</v>
      </c>
      <c r="AH74" s="743">
        <f t="shared" si="205"/>
        <v>1</v>
      </c>
      <c r="AI74" s="741">
        <f t="shared" si="206"/>
        <v>0</v>
      </c>
      <c r="AJ74" s="740">
        <f t="shared" si="207"/>
        <v>0</v>
      </c>
      <c r="AK74" s="740">
        <f t="shared" si="329"/>
        <v>0</v>
      </c>
      <c r="AL74" s="740">
        <f t="shared" si="329"/>
        <v>0</v>
      </c>
      <c r="AM74" s="740">
        <f t="shared" si="330"/>
        <v>0</v>
      </c>
      <c r="AN74" s="740">
        <f t="shared" si="330"/>
        <v>0</v>
      </c>
      <c r="AO74" s="740">
        <f t="shared" si="330"/>
        <v>0</v>
      </c>
      <c r="AP74" s="740">
        <f t="shared" si="330"/>
        <v>0</v>
      </c>
      <c r="AQ74" s="740">
        <f t="shared" si="330"/>
        <v>0</v>
      </c>
      <c r="AR74" s="740">
        <f t="shared" si="210"/>
        <v>0</v>
      </c>
      <c r="AS74" s="740">
        <f t="shared" si="331"/>
        <v>0</v>
      </c>
      <c r="AT74" s="740">
        <f t="shared" si="331"/>
        <v>0</v>
      </c>
      <c r="AU74" s="740">
        <f t="shared" si="331"/>
        <v>0</v>
      </c>
      <c r="AV74" s="740">
        <f t="shared" si="214"/>
        <v>0</v>
      </c>
      <c r="AW74" s="740">
        <f t="shared" si="215"/>
        <v>0</v>
      </c>
      <c r="AX74" s="740">
        <f t="shared" si="216"/>
        <v>0</v>
      </c>
      <c r="AY74" s="740">
        <f t="shared" si="217"/>
        <v>0</v>
      </c>
      <c r="AZ74" s="740">
        <f t="shared" si="218"/>
        <v>0</v>
      </c>
      <c r="BA74" s="740">
        <f t="shared" si="332"/>
        <v>0</v>
      </c>
      <c r="BB74" s="740">
        <f t="shared" si="332"/>
        <v>0</v>
      </c>
      <c r="BC74" s="740">
        <f t="shared" si="221"/>
        <v>0</v>
      </c>
      <c r="BD74" s="740">
        <f t="shared" si="222"/>
        <v>0</v>
      </c>
      <c r="BE74" s="741">
        <f t="shared" si="223"/>
        <v>0</v>
      </c>
      <c r="BF74" s="740">
        <f t="shared" si="224"/>
        <v>0</v>
      </c>
      <c r="BG74" s="740">
        <f t="shared" si="333"/>
        <v>0</v>
      </c>
      <c r="BH74" s="740">
        <f t="shared" si="333"/>
        <v>0</v>
      </c>
      <c r="BI74" s="740">
        <f t="shared" si="334"/>
        <v>0</v>
      </c>
      <c r="BJ74" s="740">
        <f t="shared" si="334"/>
        <v>0</v>
      </c>
      <c r="BK74" s="740">
        <f t="shared" si="334"/>
        <v>0</v>
      </c>
      <c r="BL74" s="740">
        <f t="shared" si="334"/>
        <v>0</v>
      </c>
      <c r="BM74" s="740">
        <f t="shared" si="334"/>
        <v>0</v>
      </c>
      <c r="BN74" s="740">
        <f t="shared" si="227"/>
        <v>0</v>
      </c>
      <c r="BO74" s="740">
        <f t="shared" si="228"/>
        <v>0</v>
      </c>
      <c r="BP74" s="740">
        <f t="shared" si="229"/>
        <v>0</v>
      </c>
      <c r="BQ74" s="740">
        <f t="shared" si="230"/>
        <v>0</v>
      </c>
      <c r="BR74" s="740">
        <f t="shared" si="231"/>
        <v>0</v>
      </c>
      <c r="BS74" s="740">
        <f t="shared" si="232"/>
        <v>0</v>
      </c>
      <c r="BT74" s="740">
        <f t="shared" si="233"/>
        <v>0</v>
      </c>
      <c r="BU74" s="740">
        <f t="shared" si="234"/>
        <v>0</v>
      </c>
      <c r="BV74" s="740">
        <f t="shared" si="235"/>
        <v>0</v>
      </c>
      <c r="BW74" s="740">
        <f t="shared" si="335"/>
        <v>0</v>
      </c>
      <c r="BX74" s="740">
        <f t="shared" si="335"/>
        <v>0</v>
      </c>
      <c r="BY74" s="740">
        <f t="shared" si="238"/>
        <v>0</v>
      </c>
      <c r="BZ74" s="740">
        <f t="shared" si="239"/>
        <v>0</v>
      </c>
      <c r="CA74" s="741">
        <f t="shared" si="240"/>
        <v>0</v>
      </c>
      <c r="CB74" s="740">
        <f t="shared" si="241"/>
        <v>0</v>
      </c>
      <c r="CC74" s="740">
        <f t="shared" si="336"/>
        <v>0</v>
      </c>
      <c r="CD74" s="740">
        <f t="shared" si="336"/>
        <v>0</v>
      </c>
      <c r="CE74" s="740">
        <f t="shared" si="337"/>
        <v>0</v>
      </c>
      <c r="CF74" s="740">
        <f t="shared" si="337"/>
        <v>0</v>
      </c>
      <c r="CG74" s="740">
        <f t="shared" si="337"/>
        <v>0</v>
      </c>
      <c r="CH74" s="740">
        <f t="shared" si="337"/>
        <v>0</v>
      </c>
      <c r="CI74" s="740">
        <f t="shared" si="337"/>
        <v>0</v>
      </c>
      <c r="CJ74" s="740">
        <f t="shared" si="244"/>
        <v>0</v>
      </c>
      <c r="CK74" s="740">
        <f t="shared" si="245"/>
        <v>0</v>
      </c>
      <c r="CL74" s="740">
        <f t="shared" si="246"/>
        <v>0</v>
      </c>
      <c r="CM74" s="740">
        <f t="shared" si="247"/>
        <v>0</v>
      </c>
      <c r="CN74" s="740">
        <f t="shared" si="248"/>
        <v>0</v>
      </c>
      <c r="CO74" s="740">
        <f t="shared" si="249"/>
        <v>0</v>
      </c>
      <c r="CP74" s="740">
        <f t="shared" si="250"/>
        <v>0</v>
      </c>
      <c r="CQ74" s="740">
        <f t="shared" si="251"/>
        <v>0</v>
      </c>
      <c r="CR74" s="740">
        <f t="shared" si="252"/>
        <v>0</v>
      </c>
      <c r="CS74" s="740">
        <f t="shared" si="338"/>
        <v>0</v>
      </c>
      <c r="CT74" s="740">
        <f t="shared" si="338"/>
        <v>0</v>
      </c>
      <c r="CU74" s="740">
        <f t="shared" si="255"/>
        <v>0</v>
      </c>
      <c r="CV74" s="740">
        <f t="shared" si="256"/>
        <v>0</v>
      </c>
      <c r="CW74" s="741">
        <f t="shared" si="257"/>
        <v>0</v>
      </c>
      <c r="CX74" s="740">
        <f t="shared" si="258"/>
        <v>0</v>
      </c>
      <c r="CY74" s="740">
        <f t="shared" si="339"/>
        <v>0</v>
      </c>
      <c r="CZ74" s="740">
        <f t="shared" si="339"/>
        <v>0</v>
      </c>
      <c r="DA74" s="740">
        <f t="shared" si="340"/>
        <v>0</v>
      </c>
      <c r="DB74" s="740">
        <f t="shared" si="340"/>
        <v>0</v>
      </c>
      <c r="DC74" s="740">
        <f t="shared" si="340"/>
        <v>0</v>
      </c>
      <c r="DD74" s="740">
        <f t="shared" si="340"/>
        <v>0</v>
      </c>
      <c r="DE74" s="740">
        <f t="shared" si="340"/>
        <v>0</v>
      </c>
      <c r="DF74" s="740">
        <f t="shared" si="261"/>
        <v>0</v>
      </c>
      <c r="DG74" s="740">
        <f t="shared" si="262"/>
        <v>0</v>
      </c>
      <c r="DH74" s="740">
        <f t="shared" si="263"/>
        <v>0</v>
      </c>
      <c r="DI74" s="740">
        <f t="shared" si="264"/>
        <v>0</v>
      </c>
      <c r="DJ74" s="740">
        <f t="shared" si="265"/>
        <v>0</v>
      </c>
      <c r="DK74" s="740">
        <f t="shared" si="266"/>
        <v>0</v>
      </c>
      <c r="DL74" s="740">
        <f t="shared" si="267"/>
        <v>0</v>
      </c>
      <c r="DM74" s="740">
        <f t="shared" si="268"/>
        <v>0</v>
      </c>
      <c r="DN74" s="740">
        <f t="shared" si="269"/>
        <v>0</v>
      </c>
      <c r="DO74" s="740">
        <f t="shared" si="341"/>
        <v>0</v>
      </c>
      <c r="DP74" s="740">
        <f t="shared" si="341"/>
        <v>0</v>
      </c>
      <c r="DQ74" s="740">
        <f t="shared" si="272"/>
        <v>0</v>
      </c>
      <c r="DR74" s="742">
        <f t="shared" si="273"/>
        <v>0</v>
      </c>
    </row>
    <row r="75" spans="1:122" s="732" customFormat="1" ht="13.8" thickBot="1" x14ac:dyDescent="0.3">
      <c r="B75" s="730" t="str">
        <f>'Gårdens info'!C123</f>
        <v>trädgårdsproduktionsmedel X</v>
      </c>
      <c r="C75" s="733">
        <f>'Gårdens info'!D123</f>
        <v>0</v>
      </c>
      <c r="D75" s="734" t="s">
        <v>7</v>
      </c>
      <c r="E75" s="733">
        <f>'Gårdens info'!J123</f>
        <v>0</v>
      </c>
      <c r="F75" s="751">
        <f>'Gårdens info'!G123</f>
        <v>1</v>
      </c>
      <c r="G75" s="752" t="s">
        <v>15</v>
      </c>
      <c r="H75" s="753">
        <v>10</v>
      </c>
      <c r="I75" s="730">
        <f t="shared" si="274"/>
        <v>0</v>
      </c>
      <c r="J75" s="735">
        <v>0</v>
      </c>
      <c r="K75" s="736">
        <v>0.05</v>
      </c>
      <c r="L75" s="738">
        <f>'Gårdens info'!$D$10/('Gårdens info'!$D$10+'Gårdens info'!$D$11+'Gårdens info'!$D$12+'Gårdens info'!$D$13+'Gårdens info'!$D$22+'Gårdens info'!$D$23+'Gårdens info'!$D$24+'Gårdens info'!$D$25+'Gårdens info'!$D$26+'Gårdens info'!$D$27+'Gårdens info'!$D$28)</f>
        <v>4.1666666666666664E-2</v>
      </c>
      <c r="M75" s="738">
        <f>'Gårdens info'!$D$11/('Gårdens info'!$D$10+'Gårdens info'!$D$11+'Gårdens info'!$D$12+'Gårdens info'!$D$13+'Gårdens info'!$D$22+'Gårdens info'!$D$23+'Gårdens info'!$D$24+'Gårdens info'!$D$25+'Gårdens info'!$D$26+'Gårdens info'!$D$27+'Gårdens info'!$D$28)</f>
        <v>4.1666666666666664E-2</v>
      </c>
      <c r="N75" s="738">
        <f>'Gårdens info'!$D$12/('Gårdens info'!$D$10+'Gårdens info'!$D$11+'Gårdens info'!$D$12+'Gårdens info'!$D$13+'Gårdens info'!$D$22+'Gårdens info'!$D$23+'Gårdens info'!$D$24+'Gårdens info'!$D$25+'Gårdens info'!$D$26+'Gårdens info'!$D$27+'Gårdens info'!$D$28)</f>
        <v>4.1666666666666664E-2</v>
      </c>
      <c r="O75" s="738">
        <f>'Gårdens info'!$D$13/('Gårdens info'!$D$10+'Gårdens info'!$D$11+'Gårdens info'!$D$12+'Gårdens info'!$D$13+'Gårdens info'!$D$22+'Gårdens info'!$D$23+'Gårdens info'!$D$24+'Gårdens info'!$D$25+'Gårdens info'!$D$26+'Gårdens info'!$D$27+'Gårdens info'!$D$28)</f>
        <v>4.1666666666666664E-2</v>
      </c>
      <c r="P75" s="738">
        <f>'Gårdens info'!$D$14/('Gårdens info'!$D$10+'Gårdens info'!$D$11+'Gårdens info'!$D$12+'Gårdens info'!$D$13+'Gårdens info'!$D$22+'Gårdens info'!$D$23+'Gårdens info'!$D$24+'Gårdens info'!$D$25+'Gårdens info'!$D$26+'Gårdens info'!$D$27+'Gårdens info'!$D$28)</f>
        <v>0</v>
      </c>
      <c r="Q75" s="738">
        <f>'Gårdens info'!$D$15/('Gårdens info'!$D$10+'Gårdens info'!$D$11+'Gårdens info'!$D$12+'Gårdens info'!$D$13+'Gårdens info'!$D$22+'Gårdens info'!$D$23+'Gårdens info'!$D$24+'Gårdens info'!$D$25+'Gårdens info'!$D$26+'Gårdens info'!$D$27+'Gårdens info'!$D$28)</f>
        <v>0</v>
      </c>
      <c r="R75" s="738">
        <f>'Gårdens info'!$D$16/('Gårdens info'!$D$10+'Gårdens info'!$D$11+'Gårdens info'!$D$12+'Gårdens info'!$D$13+'Gårdens info'!$D$22+'Gårdens info'!$D$23+'Gårdens info'!$D$24+'Gårdens info'!$D$25+'Gårdens info'!$D$26+'Gårdens info'!$D$27+'Gårdens info'!$D$28)</f>
        <v>0</v>
      </c>
      <c r="S75" s="738">
        <f>'Gårdens info'!$D$17/('Gårdens info'!$D$10+'Gårdens info'!$D$11+'Gårdens info'!$D$12+'Gårdens info'!$D$13+'Gårdens info'!$D$22+'Gårdens info'!$D$23+'Gårdens info'!$D$24+'Gårdens info'!$D$25+'Gårdens info'!$D$26+'Gårdens info'!$D$27+'Gårdens info'!$D$28)</f>
        <v>0</v>
      </c>
      <c r="T75" s="738">
        <f>'Gårdens info'!$D$18/('Gårdens info'!$D$10+'Gårdens info'!$D$11+'Gårdens info'!$D$12+'Gårdens info'!$D$13+'Gårdens info'!$D$22+'Gårdens info'!$D$23+'Gårdens info'!$D$24+'Gårdens info'!$D$25+'Gårdens info'!$D$26+'Gårdens info'!$D$27+'Gårdens info'!$D$28)</f>
        <v>0</v>
      </c>
      <c r="U75" s="738">
        <f>'Gårdens info'!$D$22/('Gårdens info'!$D$10+'Gårdens info'!$D$11+'Gårdens info'!$D$12+'Gårdens info'!$D$13+'Gårdens info'!$D$22+'Gårdens info'!$D$23+'Gårdens info'!$D$24+'Gårdens info'!$D$25+'Gårdens info'!$D$26+'Gårdens info'!$D$27+'Gårdens info'!$D$28)</f>
        <v>0.20833333333333334</v>
      </c>
      <c r="V75" s="738">
        <f>'Gårdens info'!$D$23/('Gårdens info'!$D$10+'Gårdens info'!$D$11+'Gårdens info'!$D$12+'Gårdens info'!$D$13+'Gårdens info'!$D$22+'Gårdens info'!$D$23+'Gårdens info'!$D$24+'Gårdens info'!$D$25+'Gårdens info'!$D$26+'Gårdens info'!$D$27+'Gårdens info'!$D$28)</f>
        <v>4.1666666666666664E-2</v>
      </c>
      <c r="W75" s="738">
        <f>'Gårdens info'!$D$24/('Gårdens info'!$D$10+'Gårdens info'!$D$11+'Gårdens info'!$D$12+'Gårdens info'!$D$13+'Gårdens info'!$D$22+'Gårdens info'!$D$23+'Gårdens info'!$D$24+'Gårdens info'!$D$25+'Gårdens info'!$D$26+'Gårdens info'!$D$27+'Gårdens info'!$D$28)</f>
        <v>0.16666666666666666</v>
      </c>
      <c r="X75" s="738">
        <f>'Gårdens info'!$D$25/('Gårdens info'!$D$10+'Gårdens info'!$D$11+'Gårdens info'!$D$12+'Gårdens info'!$D$13+'Gårdens info'!$D$22+'Gårdens info'!$D$23+'Gårdens info'!$D$24+'Gårdens info'!$D$25+'Gårdens info'!$D$26+'Gårdens info'!$D$27+'Gårdens info'!$D$28)</f>
        <v>4.1666666666666664E-2</v>
      </c>
      <c r="Y75" s="738">
        <f>'Gårdens info'!$D$26/('Gårdens info'!$D$10+'Gårdens info'!$D$11+'Gårdens info'!$D$12+'Gårdens info'!$D$13+'Gårdens info'!$D$22+'Gårdens info'!$D$23+'Gårdens info'!$D$24+'Gårdens info'!$D$25+'Gårdens info'!$D$26+'Gårdens info'!$D$27+'Gårdens info'!$D$28)</f>
        <v>0.20833333333333334</v>
      </c>
      <c r="Z75" s="738">
        <f>'Gårdens info'!$D$27/('Gårdens info'!$D$10+'Gårdens info'!$D$11+'Gårdens info'!$D$12+'Gårdens info'!$D$13+'Gårdens info'!$D$22+'Gårdens info'!$D$23+'Gårdens info'!$D$24+'Gårdens info'!$D$25+'Gårdens info'!$D$26+'Gårdens info'!$D$27+'Gårdens info'!$D$28)</f>
        <v>4.1666666666666664E-2</v>
      </c>
      <c r="AA75" s="738">
        <f>'Gårdens info'!$D$28/('Gårdens info'!$D$10+'Gårdens info'!$D$11+'Gårdens info'!$D$12+'Gårdens info'!$D$13+'Gårdens info'!$D$22+'Gårdens info'!$D$23+'Gårdens info'!$D$24+'Gårdens info'!$D$25+'Gårdens info'!$D$26+'Gårdens info'!$D$27+'Gårdens info'!$D$28)</f>
        <v>0.125</v>
      </c>
      <c r="AB75" s="738">
        <v>0</v>
      </c>
      <c r="AC75" s="738">
        <v>0</v>
      </c>
      <c r="AD75" s="738">
        <v>0</v>
      </c>
      <c r="AE75" s="738">
        <v>0</v>
      </c>
      <c r="AF75" s="738">
        <v>0</v>
      </c>
      <c r="AG75" s="738">
        <v>0</v>
      </c>
      <c r="AH75" s="743">
        <f t="shared" si="205"/>
        <v>1</v>
      </c>
      <c r="AI75" s="741">
        <f t="shared" si="206"/>
        <v>0</v>
      </c>
      <c r="AJ75" s="740">
        <f t="shared" si="207"/>
        <v>0</v>
      </c>
      <c r="AK75" s="740">
        <f t="shared" si="329"/>
        <v>0</v>
      </c>
      <c r="AL75" s="740">
        <f t="shared" si="329"/>
        <v>0</v>
      </c>
      <c r="AM75" s="740">
        <f t="shared" si="330"/>
        <v>0</v>
      </c>
      <c r="AN75" s="740">
        <f t="shared" si="330"/>
        <v>0</v>
      </c>
      <c r="AO75" s="740">
        <f t="shared" si="330"/>
        <v>0</v>
      </c>
      <c r="AP75" s="740">
        <f t="shared" si="330"/>
        <v>0</v>
      </c>
      <c r="AQ75" s="740">
        <f t="shared" si="330"/>
        <v>0</v>
      </c>
      <c r="AR75" s="740">
        <f t="shared" si="210"/>
        <v>0</v>
      </c>
      <c r="AS75" s="740">
        <f t="shared" si="331"/>
        <v>0</v>
      </c>
      <c r="AT75" s="740">
        <f t="shared" si="331"/>
        <v>0</v>
      </c>
      <c r="AU75" s="740">
        <f t="shared" si="331"/>
        <v>0</v>
      </c>
      <c r="AV75" s="740">
        <f t="shared" si="214"/>
        <v>0</v>
      </c>
      <c r="AW75" s="740">
        <f t="shared" si="215"/>
        <v>0</v>
      </c>
      <c r="AX75" s="740">
        <f t="shared" si="216"/>
        <v>0</v>
      </c>
      <c r="AY75" s="740">
        <f t="shared" si="217"/>
        <v>0</v>
      </c>
      <c r="AZ75" s="740">
        <f t="shared" si="218"/>
        <v>0</v>
      </c>
      <c r="BA75" s="740">
        <f t="shared" si="332"/>
        <v>0</v>
      </c>
      <c r="BB75" s="740">
        <f t="shared" si="332"/>
        <v>0</v>
      </c>
      <c r="BC75" s="740">
        <f t="shared" si="221"/>
        <v>0</v>
      </c>
      <c r="BD75" s="740">
        <f t="shared" si="222"/>
        <v>0</v>
      </c>
      <c r="BE75" s="741">
        <f t="shared" si="223"/>
        <v>0</v>
      </c>
      <c r="BF75" s="740">
        <f t="shared" si="224"/>
        <v>0</v>
      </c>
      <c r="BG75" s="740">
        <f t="shared" si="333"/>
        <v>0</v>
      </c>
      <c r="BH75" s="740">
        <f t="shared" si="333"/>
        <v>0</v>
      </c>
      <c r="BI75" s="740">
        <f t="shared" si="334"/>
        <v>0</v>
      </c>
      <c r="BJ75" s="740">
        <f t="shared" si="334"/>
        <v>0</v>
      </c>
      <c r="BK75" s="740">
        <f t="shared" si="334"/>
        <v>0</v>
      </c>
      <c r="BL75" s="740">
        <f t="shared" si="334"/>
        <v>0</v>
      </c>
      <c r="BM75" s="740">
        <f t="shared" si="334"/>
        <v>0</v>
      </c>
      <c r="BN75" s="740">
        <f t="shared" si="227"/>
        <v>0</v>
      </c>
      <c r="BO75" s="740">
        <f t="shared" si="228"/>
        <v>0</v>
      </c>
      <c r="BP75" s="740">
        <f t="shared" si="229"/>
        <v>0</v>
      </c>
      <c r="BQ75" s="740">
        <f t="shared" si="230"/>
        <v>0</v>
      </c>
      <c r="BR75" s="740">
        <f t="shared" si="231"/>
        <v>0</v>
      </c>
      <c r="BS75" s="740">
        <f t="shared" si="232"/>
        <v>0</v>
      </c>
      <c r="BT75" s="740">
        <f t="shared" si="233"/>
        <v>0</v>
      </c>
      <c r="BU75" s="740">
        <f t="shared" si="234"/>
        <v>0</v>
      </c>
      <c r="BV75" s="740">
        <f t="shared" si="235"/>
        <v>0</v>
      </c>
      <c r="BW75" s="740">
        <f t="shared" si="335"/>
        <v>0</v>
      </c>
      <c r="BX75" s="740">
        <f t="shared" si="335"/>
        <v>0</v>
      </c>
      <c r="BY75" s="740">
        <f t="shared" si="238"/>
        <v>0</v>
      </c>
      <c r="BZ75" s="740">
        <f t="shared" si="239"/>
        <v>0</v>
      </c>
      <c r="CA75" s="741">
        <f t="shared" si="240"/>
        <v>0</v>
      </c>
      <c r="CB75" s="740">
        <f t="shared" si="241"/>
        <v>0</v>
      </c>
      <c r="CC75" s="740">
        <f t="shared" si="336"/>
        <v>0</v>
      </c>
      <c r="CD75" s="740">
        <f t="shared" si="336"/>
        <v>0</v>
      </c>
      <c r="CE75" s="740">
        <f t="shared" si="337"/>
        <v>0</v>
      </c>
      <c r="CF75" s="740">
        <f t="shared" si="337"/>
        <v>0</v>
      </c>
      <c r="CG75" s="740">
        <f t="shared" si="337"/>
        <v>0</v>
      </c>
      <c r="CH75" s="740">
        <f t="shared" si="337"/>
        <v>0</v>
      </c>
      <c r="CI75" s="740">
        <f t="shared" si="337"/>
        <v>0</v>
      </c>
      <c r="CJ75" s="740">
        <f t="shared" si="244"/>
        <v>0</v>
      </c>
      <c r="CK75" s="740">
        <f t="shared" si="245"/>
        <v>0</v>
      </c>
      <c r="CL75" s="740">
        <f t="shared" si="246"/>
        <v>0</v>
      </c>
      <c r="CM75" s="740">
        <f t="shared" si="247"/>
        <v>0</v>
      </c>
      <c r="CN75" s="740">
        <f t="shared" si="248"/>
        <v>0</v>
      </c>
      <c r="CO75" s="740">
        <f t="shared" si="249"/>
        <v>0</v>
      </c>
      <c r="CP75" s="740">
        <f t="shared" si="250"/>
        <v>0</v>
      </c>
      <c r="CQ75" s="740">
        <f t="shared" si="251"/>
        <v>0</v>
      </c>
      <c r="CR75" s="740">
        <f t="shared" si="252"/>
        <v>0</v>
      </c>
      <c r="CS75" s="740">
        <f t="shared" si="338"/>
        <v>0</v>
      </c>
      <c r="CT75" s="740">
        <f t="shared" si="338"/>
        <v>0</v>
      </c>
      <c r="CU75" s="740">
        <f t="shared" si="255"/>
        <v>0</v>
      </c>
      <c r="CV75" s="740">
        <f t="shared" si="256"/>
        <v>0</v>
      </c>
      <c r="CW75" s="741">
        <f t="shared" si="257"/>
        <v>0</v>
      </c>
      <c r="CX75" s="740">
        <f t="shared" si="258"/>
        <v>0</v>
      </c>
      <c r="CY75" s="740">
        <f t="shared" si="339"/>
        <v>0</v>
      </c>
      <c r="CZ75" s="740">
        <f t="shared" si="339"/>
        <v>0</v>
      </c>
      <c r="DA75" s="740">
        <f t="shared" si="340"/>
        <v>0</v>
      </c>
      <c r="DB75" s="740">
        <f t="shared" si="340"/>
        <v>0</v>
      </c>
      <c r="DC75" s="740">
        <f t="shared" si="340"/>
        <v>0</v>
      </c>
      <c r="DD75" s="740">
        <f t="shared" si="340"/>
        <v>0</v>
      </c>
      <c r="DE75" s="740">
        <f t="shared" si="340"/>
        <v>0</v>
      </c>
      <c r="DF75" s="740">
        <f t="shared" si="261"/>
        <v>0</v>
      </c>
      <c r="DG75" s="740">
        <f t="shared" si="262"/>
        <v>0</v>
      </c>
      <c r="DH75" s="740">
        <f t="shared" si="263"/>
        <v>0</v>
      </c>
      <c r="DI75" s="740">
        <f t="shared" si="264"/>
        <v>0</v>
      </c>
      <c r="DJ75" s="740">
        <f t="shared" si="265"/>
        <v>0</v>
      </c>
      <c r="DK75" s="740">
        <f t="shared" si="266"/>
        <v>0</v>
      </c>
      <c r="DL75" s="740">
        <f t="shared" si="267"/>
        <v>0</v>
      </c>
      <c r="DM75" s="740">
        <f t="shared" si="268"/>
        <v>0</v>
      </c>
      <c r="DN75" s="740">
        <f t="shared" si="269"/>
        <v>0</v>
      </c>
      <c r="DO75" s="740">
        <f t="shared" si="341"/>
        <v>0</v>
      </c>
      <c r="DP75" s="740">
        <f t="shared" si="341"/>
        <v>0</v>
      </c>
      <c r="DQ75" s="740">
        <f t="shared" si="272"/>
        <v>0</v>
      </c>
      <c r="DR75" s="742">
        <f t="shared" si="273"/>
        <v>0</v>
      </c>
    </row>
    <row r="76" spans="1:122" s="8" customFormat="1" x14ac:dyDescent="0.25">
      <c r="A76" s="16" t="s">
        <v>196</v>
      </c>
      <c r="B76" s="16"/>
      <c r="C76" s="16"/>
      <c r="D76" s="16"/>
      <c r="E76" s="16"/>
      <c r="F76" s="16"/>
      <c r="G76" s="16"/>
      <c r="H76" s="16"/>
      <c r="I76" s="16"/>
      <c r="J76" s="2"/>
      <c r="K76" s="16"/>
      <c r="L76" s="45"/>
      <c r="M76" s="17"/>
      <c r="N76" s="17"/>
      <c r="O76" s="17"/>
      <c r="P76" s="17"/>
      <c r="Q76" s="17"/>
      <c r="R76" s="17"/>
      <c r="S76" s="17"/>
      <c r="T76" s="17"/>
      <c r="U76" s="17"/>
      <c r="V76" s="17"/>
      <c r="W76" s="17"/>
      <c r="X76" s="17"/>
      <c r="Y76" s="17"/>
      <c r="Z76" s="17"/>
      <c r="AA76" s="17"/>
      <c r="AB76" s="17"/>
      <c r="AC76" s="17"/>
      <c r="AD76" s="17"/>
      <c r="AE76" s="17"/>
      <c r="AF76" s="17"/>
      <c r="AG76" s="17"/>
      <c r="AH76" s="59"/>
      <c r="AI76" s="41">
        <f>SUM(AI57:AI75)</f>
        <v>48.452380952380949</v>
      </c>
      <c r="AJ76" s="19">
        <f t="shared" ref="AJ76:BD76" si="342">SUM(AJ57:AJ75)</f>
        <v>48.452380952380949</v>
      </c>
      <c r="AK76" s="19">
        <f t="shared" si="342"/>
        <v>48.452380952380949</v>
      </c>
      <c r="AL76" s="19">
        <f t="shared" ref="AL76:AQ76" si="343">SUM(AL57:AL75)</f>
        <v>48.452380952380949</v>
      </c>
      <c r="AM76" s="19">
        <f t="shared" si="343"/>
        <v>0</v>
      </c>
      <c r="AN76" s="19">
        <f t="shared" si="343"/>
        <v>0</v>
      </c>
      <c r="AO76" s="19">
        <f t="shared" si="343"/>
        <v>0</v>
      </c>
      <c r="AP76" s="19">
        <f t="shared" si="343"/>
        <v>0</v>
      </c>
      <c r="AQ76" s="19">
        <f t="shared" si="343"/>
        <v>0</v>
      </c>
      <c r="AR76" s="19">
        <f t="shared" si="342"/>
        <v>867.2619047619047</v>
      </c>
      <c r="AS76" s="19">
        <f t="shared" si="342"/>
        <v>298.52380952380952</v>
      </c>
      <c r="AT76" s="19">
        <f t="shared" si="342"/>
        <v>1194.0952380952381</v>
      </c>
      <c r="AU76" s="19">
        <f t="shared" si="342"/>
        <v>298.52380952380952</v>
      </c>
      <c r="AV76" s="19">
        <f t="shared" si="342"/>
        <v>242.26190476190473</v>
      </c>
      <c r="AW76" s="19">
        <f t="shared" si="342"/>
        <v>173.52380952380952</v>
      </c>
      <c r="AX76" s="19">
        <f t="shared" si="342"/>
        <v>2.5</v>
      </c>
      <c r="AY76" s="19">
        <f t="shared" si="342"/>
        <v>0</v>
      </c>
      <c r="AZ76" s="19">
        <f t="shared" si="342"/>
        <v>0</v>
      </c>
      <c r="BA76" s="19">
        <f t="shared" si="342"/>
        <v>0</v>
      </c>
      <c r="BB76" s="19">
        <f t="shared" ref="BB76" si="344">SUM(BB57:BB75)</f>
        <v>0</v>
      </c>
      <c r="BC76" s="19">
        <f t="shared" si="342"/>
        <v>0</v>
      </c>
      <c r="BD76" s="19">
        <f t="shared" si="342"/>
        <v>0</v>
      </c>
      <c r="BE76" s="41">
        <f>SUM(BE57:BE75)</f>
        <v>4.9702380952380949</v>
      </c>
      <c r="BF76" s="19">
        <f t="shared" ref="BF76:BZ76" si="345">SUM(BF57:BF75)</f>
        <v>4.9702380952380949</v>
      </c>
      <c r="BG76" s="19">
        <f t="shared" si="345"/>
        <v>4.9702380952380949</v>
      </c>
      <c r="BH76" s="19">
        <f t="shared" ref="BH76:BM76" si="346">SUM(BH57:BH75)</f>
        <v>4.9702380952380949</v>
      </c>
      <c r="BI76" s="19">
        <f t="shared" si="346"/>
        <v>0</v>
      </c>
      <c r="BJ76" s="19">
        <f t="shared" si="346"/>
        <v>0</v>
      </c>
      <c r="BK76" s="19">
        <f t="shared" si="346"/>
        <v>0</v>
      </c>
      <c r="BL76" s="19">
        <f t="shared" si="346"/>
        <v>0</v>
      </c>
      <c r="BM76" s="19">
        <f t="shared" si="346"/>
        <v>0</v>
      </c>
      <c r="BN76" s="19">
        <f t="shared" si="345"/>
        <v>87.351190476190482</v>
      </c>
      <c r="BO76" s="19">
        <f t="shared" si="345"/>
        <v>42.484523809523814</v>
      </c>
      <c r="BP76" s="19">
        <f t="shared" si="345"/>
        <v>169.93809523809526</v>
      </c>
      <c r="BQ76" s="19">
        <f t="shared" si="345"/>
        <v>42.484523809523814</v>
      </c>
      <c r="BR76" s="19">
        <f t="shared" si="345"/>
        <v>24.851190476190474</v>
      </c>
      <c r="BS76" s="19">
        <f t="shared" si="345"/>
        <v>29.984523809523811</v>
      </c>
      <c r="BT76" s="19">
        <f t="shared" si="345"/>
        <v>0.625</v>
      </c>
      <c r="BU76" s="19">
        <f t="shared" si="345"/>
        <v>0</v>
      </c>
      <c r="BV76" s="19">
        <f t="shared" si="345"/>
        <v>0</v>
      </c>
      <c r="BW76" s="19">
        <f t="shared" si="345"/>
        <v>0</v>
      </c>
      <c r="BX76" s="19">
        <f t="shared" ref="BX76" si="347">SUM(BX57:BX75)</f>
        <v>0</v>
      </c>
      <c r="BY76" s="19">
        <f t="shared" si="345"/>
        <v>0</v>
      </c>
      <c r="BZ76" s="19">
        <f t="shared" si="345"/>
        <v>0</v>
      </c>
      <c r="CA76" s="41">
        <f>SUM(CA57:CA75)</f>
        <v>35.607142857142847</v>
      </c>
      <c r="CB76" s="19">
        <f t="shared" ref="CB76:CV76" si="348">SUM(CB57:CB75)</f>
        <v>35.607142857142847</v>
      </c>
      <c r="CC76" s="19">
        <f t="shared" si="348"/>
        <v>35.607142857142847</v>
      </c>
      <c r="CD76" s="19">
        <f t="shared" ref="CD76:CI76" si="349">SUM(CD57:CD75)</f>
        <v>35.607142857142847</v>
      </c>
      <c r="CE76" s="19">
        <f t="shared" si="349"/>
        <v>0</v>
      </c>
      <c r="CF76" s="19">
        <f t="shared" si="349"/>
        <v>0</v>
      </c>
      <c r="CG76" s="19">
        <f t="shared" si="349"/>
        <v>0</v>
      </c>
      <c r="CH76" s="19">
        <f t="shared" si="349"/>
        <v>0</v>
      </c>
      <c r="CI76" s="19">
        <f t="shared" si="349"/>
        <v>0</v>
      </c>
      <c r="CJ76" s="19">
        <f t="shared" si="348"/>
        <v>506.36904761904759</v>
      </c>
      <c r="CK76" s="19">
        <f t="shared" si="348"/>
        <v>113.67738095238096</v>
      </c>
      <c r="CL76" s="358">
        <f t="shared" si="348"/>
        <v>454.70952380952383</v>
      </c>
      <c r="CM76" s="19">
        <f t="shared" si="348"/>
        <v>113.67738095238096</v>
      </c>
      <c r="CN76" s="19">
        <f t="shared" si="348"/>
        <v>178.03571428571431</v>
      </c>
      <c r="CO76" s="19">
        <f t="shared" si="348"/>
        <v>88.677380952380958</v>
      </c>
      <c r="CP76" s="19">
        <f t="shared" si="348"/>
        <v>78.25</v>
      </c>
      <c r="CQ76" s="19">
        <f t="shared" si="348"/>
        <v>0</v>
      </c>
      <c r="CR76" s="19">
        <f t="shared" si="348"/>
        <v>0</v>
      </c>
      <c r="CS76" s="19">
        <f t="shared" si="348"/>
        <v>0</v>
      </c>
      <c r="CT76" s="19">
        <f t="shared" ref="CT76" si="350">SUM(CT57:CT75)</f>
        <v>0</v>
      </c>
      <c r="CU76" s="19">
        <f t="shared" si="348"/>
        <v>0</v>
      </c>
      <c r="CV76" s="19">
        <f t="shared" si="348"/>
        <v>0</v>
      </c>
      <c r="CW76" s="19">
        <f>SUM(CW57:CW75)</f>
        <v>1.4242857142857142</v>
      </c>
      <c r="CX76" s="19">
        <f t="shared" ref="CX76:DR76" si="351">SUM(CX57:CX75)</f>
        <v>1.4242857142857142</v>
      </c>
      <c r="CY76" s="19">
        <f t="shared" si="351"/>
        <v>1.4242857142857142</v>
      </c>
      <c r="CZ76" s="19">
        <f t="shared" ref="CZ76:DE76" si="352">SUM(CZ57:CZ75)</f>
        <v>1.4242857142857142</v>
      </c>
      <c r="DA76" s="19">
        <f t="shared" si="352"/>
        <v>0</v>
      </c>
      <c r="DB76" s="19">
        <f t="shared" si="352"/>
        <v>0</v>
      </c>
      <c r="DC76" s="19">
        <f t="shared" si="352"/>
        <v>0</v>
      </c>
      <c r="DD76" s="19">
        <f t="shared" si="352"/>
        <v>0</v>
      </c>
      <c r="DE76" s="19">
        <f t="shared" si="352"/>
        <v>0</v>
      </c>
      <c r="DF76" s="19">
        <f t="shared" si="351"/>
        <v>20.254761904761903</v>
      </c>
      <c r="DG76" s="19">
        <f t="shared" si="351"/>
        <v>4.5470952380952383</v>
      </c>
      <c r="DH76" s="19">
        <f t="shared" si="351"/>
        <v>18.188380952380953</v>
      </c>
      <c r="DI76" s="19">
        <f t="shared" si="351"/>
        <v>4.5470952380952383</v>
      </c>
      <c r="DJ76" s="19">
        <f t="shared" si="351"/>
        <v>7.1214285714285719</v>
      </c>
      <c r="DK76" s="19">
        <f t="shared" si="351"/>
        <v>3.5470952380952379</v>
      </c>
      <c r="DL76" s="19">
        <f t="shared" si="351"/>
        <v>3.13</v>
      </c>
      <c r="DM76" s="19">
        <f t="shared" si="351"/>
        <v>0</v>
      </c>
      <c r="DN76" s="19">
        <f t="shared" si="351"/>
        <v>0</v>
      </c>
      <c r="DO76" s="19">
        <f t="shared" si="351"/>
        <v>0</v>
      </c>
      <c r="DP76" s="19">
        <f t="shared" ref="DP76" si="353">SUM(DP57:DP75)</f>
        <v>0</v>
      </c>
      <c r="DQ76" s="19">
        <f t="shared" si="351"/>
        <v>0</v>
      </c>
      <c r="DR76" s="42">
        <f t="shared" si="351"/>
        <v>0</v>
      </c>
    </row>
    <row r="77" spans="1:122" x14ac:dyDescent="0.25">
      <c r="A77" s="26"/>
      <c r="B77" s="47"/>
      <c r="C77" s="47"/>
      <c r="D77" s="47"/>
      <c r="E77" s="47"/>
      <c r="F77" s="47"/>
      <c r="G77" s="47"/>
      <c r="H77" s="47"/>
      <c r="I77" s="47"/>
      <c r="J77" s="47"/>
      <c r="K77" s="47"/>
      <c r="L77" s="54"/>
      <c r="M77" s="55"/>
      <c r="N77" s="55"/>
      <c r="O77" s="55"/>
      <c r="P77" s="55"/>
      <c r="Q77" s="55"/>
      <c r="R77" s="55"/>
      <c r="S77" s="55"/>
      <c r="T77" s="55"/>
      <c r="U77" s="55"/>
      <c r="V77" s="55"/>
      <c r="W77" s="20"/>
      <c r="X77" s="20"/>
      <c r="Y77" s="20"/>
      <c r="Z77" s="20"/>
      <c r="AA77" s="20"/>
      <c r="AB77" s="20"/>
      <c r="AC77" s="20"/>
      <c r="AD77" s="20"/>
      <c r="AE77" s="20"/>
      <c r="AF77" s="20"/>
      <c r="AG77" s="20"/>
      <c r="AH77" s="60"/>
      <c r="AI77" s="51"/>
      <c r="AJ77" s="21"/>
      <c r="AK77" s="21"/>
      <c r="AL77" s="21"/>
      <c r="AM77" s="21"/>
      <c r="AN77" s="21"/>
      <c r="AO77" s="21"/>
      <c r="AP77" s="21"/>
      <c r="AQ77" s="21"/>
      <c r="AR77" s="21"/>
      <c r="AS77" s="21"/>
      <c r="AT77" s="21"/>
      <c r="AU77" s="21"/>
      <c r="AV77" s="21"/>
      <c r="AW77" s="21"/>
      <c r="AX77" s="21"/>
      <c r="AY77" s="21"/>
      <c r="AZ77" s="21"/>
      <c r="BA77" s="21"/>
      <c r="BB77" s="21"/>
      <c r="BC77" s="21"/>
      <c r="BD77" s="52"/>
      <c r="BE77" s="51"/>
      <c r="BF77" s="21"/>
      <c r="BG77" s="21"/>
      <c r="BH77" s="21"/>
      <c r="BI77" s="21"/>
      <c r="BJ77" s="21"/>
      <c r="BK77" s="21"/>
      <c r="BL77" s="21"/>
      <c r="BM77" s="21"/>
      <c r="BN77" s="21"/>
      <c r="BO77" s="21"/>
      <c r="BP77" s="21"/>
      <c r="BQ77" s="21"/>
      <c r="BR77" s="21"/>
      <c r="BS77" s="21"/>
      <c r="BT77" s="21"/>
      <c r="BU77" s="21"/>
      <c r="BV77" s="21"/>
      <c r="BW77" s="21"/>
      <c r="BX77" s="21"/>
      <c r="BY77" s="21"/>
      <c r="BZ77" s="52"/>
      <c r="CA77" s="51"/>
      <c r="CB77" s="21"/>
      <c r="CC77" s="21"/>
      <c r="CD77" s="21"/>
      <c r="CE77" s="21"/>
      <c r="CF77" s="21"/>
      <c r="CG77" s="21"/>
      <c r="CH77" s="21"/>
      <c r="CI77" s="21"/>
      <c r="CJ77" s="21"/>
      <c r="CK77" s="21"/>
      <c r="CL77" s="52"/>
      <c r="CM77" s="21"/>
      <c r="CN77" s="21"/>
      <c r="CO77" s="21"/>
      <c r="CP77" s="21"/>
      <c r="CQ77" s="21"/>
      <c r="CR77" s="21"/>
      <c r="CS77" s="21"/>
      <c r="CT77" s="21"/>
      <c r="CU77" s="21"/>
      <c r="CV77" s="53"/>
      <c r="CW77" s="21"/>
      <c r="CX77" s="21"/>
      <c r="CY77" s="21"/>
      <c r="CZ77" s="21"/>
      <c r="DA77" s="21"/>
      <c r="DB77" s="21"/>
      <c r="DC77" s="21"/>
      <c r="DD77" s="21"/>
      <c r="DE77" s="21"/>
      <c r="DF77" s="21"/>
      <c r="DG77" s="1"/>
      <c r="DH77" s="1"/>
      <c r="DI77" s="1"/>
      <c r="DJ77" s="1"/>
      <c r="DK77" s="1"/>
    </row>
    <row r="78" spans="1:122" ht="13.8" thickBot="1" x14ac:dyDescent="0.3">
      <c r="A78" s="28"/>
      <c r="B78" s="13"/>
      <c r="C78" s="13"/>
      <c r="D78" s="13"/>
      <c r="E78" s="13"/>
      <c r="F78" s="13"/>
      <c r="G78" s="13"/>
      <c r="H78" s="509"/>
      <c r="I78" s="13"/>
      <c r="J78" s="509"/>
      <c r="K78" s="510"/>
      <c r="L78" s="29"/>
      <c r="M78" s="20"/>
      <c r="N78" s="20"/>
      <c r="O78" s="20"/>
      <c r="P78" s="20"/>
      <c r="Q78" s="20"/>
      <c r="R78" s="20"/>
      <c r="S78" s="20"/>
      <c r="T78" s="20"/>
      <c r="U78" s="20"/>
      <c r="V78" s="20"/>
      <c r="W78" s="20"/>
      <c r="X78" s="20"/>
      <c r="Y78" s="20"/>
      <c r="Z78" s="20"/>
      <c r="AA78" s="20"/>
      <c r="AB78" s="20"/>
      <c r="AC78" s="20"/>
      <c r="AD78" s="20"/>
      <c r="AE78" s="20"/>
      <c r="AF78" s="20"/>
      <c r="AG78" s="20"/>
      <c r="AH78" s="58"/>
      <c r="AI78" s="36"/>
      <c r="AJ78" s="21"/>
      <c r="AK78" s="21"/>
      <c r="AL78" s="21"/>
      <c r="AM78" s="21"/>
      <c r="AN78" s="21"/>
      <c r="AO78" s="21"/>
      <c r="AP78" s="21"/>
      <c r="AQ78" s="21"/>
      <c r="AR78" s="21"/>
      <c r="AS78" s="21"/>
      <c r="AT78" s="21"/>
      <c r="AU78" s="21"/>
      <c r="AV78" s="21"/>
      <c r="AW78" s="21"/>
      <c r="AX78" s="21"/>
      <c r="AY78" s="21"/>
      <c r="AZ78" s="21"/>
      <c r="BA78" s="21"/>
      <c r="BB78" s="21"/>
      <c r="BC78" s="21"/>
      <c r="BD78" s="21"/>
      <c r="BE78" s="36"/>
      <c r="BF78" s="21"/>
      <c r="BG78" s="21"/>
      <c r="BH78" s="21"/>
      <c r="BI78" s="21"/>
      <c r="BJ78" s="21"/>
      <c r="BK78" s="21"/>
      <c r="BL78" s="21"/>
      <c r="BM78" s="21"/>
      <c r="BN78" s="21"/>
      <c r="BO78" s="21"/>
      <c r="BP78" s="21"/>
      <c r="BQ78" s="21"/>
      <c r="BR78" s="21"/>
      <c r="BS78" s="21"/>
      <c r="BT78" s="21"/>
      <c r="BU78" s="21"/>
      <c r="BV78" s="21"/>
      <c r="BW78" s="21"/>
      <c r="BX78" s="21"/>
      <c r="BY78" s="21"/>
      <c r="BZ78" s="21"/>
      <c r="CA78" s="36"/>
      <c r="CB78" s="21"/>
      <c r="CC78" s="21"/>
      <c r="CD78" s="21"/>
      <c r="CE78" s="21"/>
      <c r="CF78" s="21"/>
      <c r="CG78" s="21"/>
      <c r="CH78" s="21"/>
      <c r="CI78" s="21"/>
      <c r="CJ78" s="21"/>
      <c r="CK78" s="21"/>
      <c r="CL78" s="21"/>
      <c r="CM78" s="21"/>
      <c r="CN78" s="21"/>
      <c r="CO78" s="21"/>
      <c r="CP78" s="21"/>
      <c r="CQ78" s="21"/>
      <c r="CR78" s="21"/>
      <c r="CS78" s="21"/>
      <c r="CT78" s="21"/>
      <c r="CU78" s="21"/>
      <c r="CV78" s="37"/>
      <c r="CW78" s="21"/>
      <c r="CX78" s="21"/>
      <c r="CY78" s="21"/>
      <c r="CZ78" s="21"/>
      <c r="DA78" s="21"/>
      <c r="DB78" s="21"/>
      <c r="DC78" s="21"/>
      <c r="DD78" s="21"/>
      <c r="DE78" s="21"/>
      <c r="DF78" s="21"/>
      <c r="DG78" s="1"/>
      <c r="DH78" s="1"/>
      <c r="DI78" s="1"/>
      <c r="DJ78" s="1"/>
      <c r="DK78" s="1"/>
    </row>
    <row r="79" spans="1:122" ht="13.8" thickBot="1" x14ac:dyDescent="0.3">
      <c r="A79" s="48" t="s">
        <v>160</v>
      </c>
      <c r="B79" s="2"/>
      <c r="C79" s="529">
        <f>'Gårdens info'!D127</f>
        <v>3000</v>
      </c>
      <c r="D79" s="530" t="s">
        <v>14</v>
      </c>
      <c r="E79" s="529">
        <f>'Gårdens info'!J127</f>
        <v>1975</v>
      </c>
      <c r="F79" s="531">
        <f>'Gårdens info'!G127</f>
        <v>20</v>
      </c>
      <c r="G79" s="524" t="s">
        <v>0</v>
      </c>
      <c r="H79" s="506">
        <v>40</v>
      </c>
      <c r="I79" s="7">
        <f>C79*F79</f>
        <v>60000</v>
      </c>
      <c r="J79" s="506">
        <v>0</v>
      </c>
      <c r="K79" s="507">
        <v>0.01</v>
      </c>
      <c r="L79" s="498">
        <f>'Gårdens info'!$D$10/('Gårdens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M79" s="498">
        <f>'Gårdens info'!$D$11/('Gårdens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N79" s="498">
        <f>'Gårdens info'!$D$12/('Gårdens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O79" s="498">
        <f>'Gårdens info'!$D$13/('Gårdens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P79" s="498">
        <f>'Gårdens info'!$D$14/('Gårdens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Q79" s="498">
        <f>'Gårdens info'!$D$15/('Gårdens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R79" s="498">
        <f>'Gårdens info'!$D$16/('Gårdens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S79" s="498">
        <f>'Gårdens info'!$D$17/('Gårdens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T79" s="498">
        <f>'Gårdens info'!$D$18/('Gårdens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U79" s="498">
        <f>'Gårdens info'!$D$22/('Gårdens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0.18518518518518517</v>
      </c>
      <c r="V79" s="498">
        <f>'Gårdens info'!$D$23/('Gårdens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W79" s="498">
        <f>'Gårdens info'!$D$24/('Gårdens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0.14814814814814814</v>
      </c>
      <c r="X79" s="498">
        <f>'Gårdens info'!$D$25/('Gårdens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Y79" s="498">
        <f>'Gårdens info'!$D$26/('Gårdens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0.18518518518518517</v>
      </c>
      <c r="Z79" s="498">
        <f>'Gårdens info'!$D$27/('Gårdens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3.7037037037037035E-2</v>
      </c>
      <c r="AA79" s="498">
        <f>'Gårdens info'!$D$28/('Gårdens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0.1111111111111111</v>
      </c>
      <c r="AB79" s="498">
        <f>'Gårdens info'!$D$31/('Gårdens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0.1111111111111111</v>
      </c>
      <c r="AC79" s="498">
        <f>'Gårdens info'!$D$32/('Gårdens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AD79" s="498">
        <f>'Gårdens info'!$D$33/('Gårdens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AE79" s="498">
        <f>'Gårdens info'!$D$34/('Gårdens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AF79" s="498">
        <f>'Gårdens info'!$D$35/('Gårdens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AG79" s="498">
        <f>'Gårdens info'!$D$36/('Gårdens info'!$D$10+'Gårdens info'!$D$11+'Gårdens info'!$D$12+'Gårdens info'!$D$13+'Gårdens info'!$D$14+'Gårdens info'!$D$15+'Gårdens info'!$D$16+'Gårdens info'!$D$17+'Gårdens info'!$D$18+'Gårdens info'!$D$22+'Gårdens info'!$D$23+'Gårdens info'!$D$24+'Gårdens info'!$D$25+'Gårdens info'!$D$26+'Gårdens info'!$D$27+'Gårdens info'!$D$28+'Gårdens info'!$D$31+'Gårdens info'!$D$32+'Gårdens info'!$D$33+'Gårdens info'!$D$34+'Gårdens info'!$D$35+'Gårdens info'!$D$36)</f>
        <v>0</v>
      </c>
      <c r="AH79" s="501">
        <f>+SUM(L79:AG79)</f>
        <v>1</v>
      </c>
      <c r="AI79" s="43">
        <f>IF((($C$7-$E79)&lt;=$H79),(($I79-$J79)/$H79*L79),0)</f>
        <v>0</v>
      </c>
      <c r="AJ79" s="3">
        <f>IF((($C$7-$E79)&lt;=$H79),(($I79-$J79)/$H79*M79),0)</f>
        <v>0</v>
      </c>
      <c r="AK79" s="3">
        <f>IF((($C$7-$E79)&lt;=$H79),(($I79-$J79)/$H79*N79),0)</f>
        <v>0</v>
      </c>
      <c r="AL79" s="3">
        <f>IF((($C$7-$E79)&lt;=$H79),(($I79-$J79)/$H79*O79),0)</f>
        <v>0</v>
      </c>
      <c r="AM79" s="3">
        <f t="shared" ref="AM79:AQ79" si="354">IF((($C$7-$E79)&lt;=$H79),(($I79-$J79)/$H79*P79),0)</f>
        <v>0</v>
      </c>
      <c r="AN79" s="3">
        <f t="shared" si="354"/>
        <v>0</v>
      </c>
      <c r="AO79" s="3">
        <f t="shared" si="354"/>
        <v>0</v>
      </c>
      <c r="AP79" s="3">
        <f t="shared" si="354"/>
        <v>0</v>
      </c>
      <c r="AQ79" s="3">
        <f t="shared" si="354"/>
        <v>0</v>
      </c>
      <c r="AR79" s="3">
        <f t="shared" ref="AR79:BB79" si="355">IF((($C$7-$E79)&lt;=$H79),(($I79-$J79)/$H79*U79),0)</f>
        <v>0</v>
      </c>
      <c r="AS79" s="3">
        <f t="shared" si="355"/>
        <v>0</v>
      </c>
      <c r="AT79" s="3">
        <f t="shared" si="355"/>
        <v>0</v>
      </c>
      <c r="AU79" s="3">
        <f t="shared" si="355"/>
        <v>0</v>
      </c>
      <c r="AV79" s="3">
        <f t="shared" si="355"/>
        <v>0</v>
      </c>
      <c r="AW79" s="3">
        <f t="shared" si="355"/>
        <v>0</v>
      </c>
      <c r="AX79" s="3">
        <f t="shared" si="355"/>
        <v>0</v>
      </c>
      <c r="AY79" s="3">
        <f t="shared" si="355"/>
        <v>0</v>
      </c>
      <c r="AZ79" s="3">
        <f t="shared" si="355"/>
        <v>0</v>
      </c>
      <c r="BA79" s="3">
        <f t="shared" si="355"/>
        <v>0</v>
      </c>
      <c r="BB79" s="3">
        <f t="shared" si="355"/>
        <v>0</v>
      </c>
      <c r="BC79" s="3">
        <f t="shared" ref="BC79:BD79" si="356">IF((($C$7-$E79)&lt;=$H79),(($I79-$J79)/$H79*AF79),0)</f>
        <v>0</v>
      </c>
      <c r="BD79" s="3">
        <f t="shared" si="356"/>
        <v>0</v>
      </c>
      <c r="BE79" s="43">
        <f>IF(($C$7-$E79&lt;=$H79),(($I79+$J79)/2*$C$8*L79),0)</f>
        <v>0</v>
      </c>
      <c r="BF79" s="3">
        <f>IF(($C$7-$E79&lt;=$H79),(($I79+$J79)/2*$C$8*M79),0)</f>
        <v>0</v>
      </c>
      <c r="BG79" s="3">
        <f>IF(($C$7-$E79&lt;=$H79),(($I79+$J79)/2*$C$8*N79),0)</f>
        <v>0</v>
      </c>
      <c r="BH79" s="3">
        <f>IF(($C$7-$E79&lt;=$H79),(($I79+$J79)/2*$C$8*O79),0)</f>
        <v>0</v>
      </c>
      <c r="BI79" s="3">
        <f t="shared" ref="BI79:BM79" si="357">IF(($C$7-$E79&lt;=$H79),(($I79+$J79)/2*$C$8*P79),0)</f>
        <v>0</v>
      </c>
      <c r="BJ79" s="3">
        <f t="shared" si="357"/>
        <v>0</v>
      </c>
      <c r="BK79" s="3">
        <f t="shared" si="357"/>
        <v>0</v>
      </c>
      <c r="BL79" s="3">
        <f t="shared" si="357"/>
        <v>0</v>
      </c>
      <c r="BM79" s="3">
        <f t="shared" si="357"/>
        <v>0</v>
      </c>
      <c r="BN79" s="3">
        <f t="shared" ref="BN79:BX79" si="358">IF(($C$7-$E79&lt;=$H79),(($I79+$J79)/2*$C$8*U79),0)</f>
        <v>0</v>
      </c>
      <c r="BO79" s="3">
        <f t="shared" si="358"/>
        <v>0</v>
      </c>
      <c r="BP79" s="3">
        <f t="shared" si="358"/>
        <v>0</v>
      </c>
      <c r="BQ79" s="3">
        <f t="shared" si="358"/>
        <v>0</v>
      </c>
      <c r="BR79" s="3">
        <f t="shared" si="358"/>
        <v>0</v>
      </c>
      <c r="BS79" s="3">
        <f t="shared" si="358"/>
        <v>0</v>
      </c>
      <c r="BT79" s="3">
        <f t="shared" si="358"/>
        <v>0</v>
      </c>
      <c r="BU79" s="3">
        <f t="shared" si="358"/>
        <v>0</v>
      </c>
      <c r="BV79" s="3">
        <f t="shared" si="358"/>
        <v>0</v>
      </c>
      <c r="BW79" s="3">
        <f t="shared" si="358"/>
        <v>0</v>
      </c>
      <c r="BX79" s="3">
        <f t="shared" si="358"/>
        <v>0</v>
      </c>
      <c r="BY79" s="3">
        <f t="shared" ref="BY79:BZ79" si="359">IF(($C$7-$E79&lt;=$H79),(($I79+$J79)/2*$C$8*AF79),0)</f>
        <v>0</v>
      </c>
      <c r="BZ79" s="3">
        <f t="shared" si="359"/>
        <v>0</v>
      </c>
      <c r="CA79" s="43">
        <f>$I79*$K79*L79</f>
        <v>22.222222222222221</v>
      </c>
      <c r="CB79" s="3">
        <f>$I79*$K79*M79</f>
        <v>22.222222222222221</v>
      </c>
      <c r="CC79" s="3">
        <f>$I79*$K79*N79</f>
        <v>22.222222222222221</v>
      </c>
      <c r="CD79" s="3">
        <f>$I79*$K79*O79</f>
        <v>22.222222222222221</v>
      </c>
      <c r="CE79" s="3">
        <f t="shared" ref="CE79:CI79" si="360">$I79*$K79*P79</f>
        <v>0</v>
      </c>
      <c r="CF79" s="3">
        <f t="shared" si="360"/>
        <v>0</v>
      </c>
      <c r="CG79" s="3">
        <f t="shared" si="360"/>
        <v>0</v>
      </c>
      <c r="CH79" s="3">
        <f t="shared" si="360"/>
        <v>0</v>
      </c>
      <c r="CI79" s="3">
        <f t="shared" si="360"/>
        <v>0</v>
      </c>
      <c r="CJ79" s="3">
        <f t="shared" ref="CJ79:CQ79" si="361">$I79*$K79*U79</f>
        <v>111.1111111111111</v>
      </c>
      <c r="CK79" s="3">
        <f t="shared" si="361"/>
        <v>22.222222222222221</v>
      </c>
      <c r="CL79" s="3">
        <f t="shared" si="361"/>
        <v>88.888888888888886</v>
      </c>
      <c r="CM79" s="3">
        <f t="shared" si="361"/>
        <v>22.222222222222221</v>
      </c>
      <c r="CN79" s="3">
        <f t="shared" si="361"/>
        <v>111.1111111111111</v>
      </c>
      <c r="CO79" s="3">
        <f t="shared" si="361"/>
        <v>22.222222222222221</v>
      </c>
      <c r="CP79" s="3">
        <f t="shared" si="361"/>
        <v>66.666666666666657</v>
      </c>
      <c r="CQ79" s="3">
        <f t="shared" si="361"/>
        <v>66.666666666666657</v>
      </c>
      <c r="CR79" s="3">
        <f t="shared" ref="CR79" si="362">$I79*$K79*AC79</f>
        <v>0</v>
      </c>
      <c r="CS79" s="3">
        <f t="shared" ref="CS79:CT79" si="363">$I79*$K79*AD79</f>
        <v>0</v>
      </c>
      <c r="CT79" s="3">
        <f t="shared" si="363"/>
        <v>0</v>
      </c>
      <c r="CU79" s="3">
        <f t="shared" ref="CU79" si="364">$I79*$K79*AF79</f>
        <v>0</v>
      </c>
      <c r="CV79" s="44">
        <f t="shared" ref="CV79" si="365">$I79*$K79*AG79</f>
        <v>0</v>
      </c>
      <c r="CW79" s="21"/>
      <c r="CX79" s="50" t="s">
        <v>52</v>
      </c>
      <c r="CY79" s="21"/>
      <c r="CZ79" s="21"/>
      <c r="DA79" s="21"/>
      <c r="DB79" s="21"/>
      <c r="DC79" s="21"/>
      <c r="DD79" s="21"/>
      <c r="DE79" s="21"/>
      <c r="DF79" s="21"/>
      <c r="DG79" s="1"/>
      <c r="DH79" s="1"/>
      <c r="DI79" s="1"/>
      <c r="DJ79" s="1"/>
      <c r="DK79" s="1"/>
    </row>
    <row r="80" spans="1:122" x14ac:dyDescent="0.25">
      <c r="CW80" s="1"/>
      <c r="CX80" s="1"/>
      <c r="CY80" s="1"/>
      <c r="CZ80" s="1"/>
      <c r="DA80" s="1"/>
      <c r="DB80" s="1"/>
      <c r="DC80" s="1"/>
      <c r="DD80" s="1"/>
      <c r="DE80" s="1"/>
      <c r="DF80" s="1"/>
      <c r="DG80" s="1"/>
      <c r="DH80" s="1"/>
      <c r="DI80" s="1"/>
      <c r="DJ80" s="1"/>
      <c r="DK80" s="1"/>
    </row>
  </sheetData>
  <mergeCells count="7">
    <mergeCell ref="CW11:DR11"/>
    <mergeCell ref="A2:C2"/>
    <mergeCell ref="L11:AG11"/>
    <mergeCell ref="AI11:BD11"/>
    <mergeCell ref="A3:B3"/>
    <mergeCell ref="BE11:BZ11"/>
    <mergeCell ref="CA11:CV11"/>
  </mergeCells>
  <hyperlinks>
    <hyperlink ref="U12" location="'Avomaan mansikka'!A1" display="AVOMAAN MANSIKKA" xr:uid="{613BB0BB-51DB-754A-91BE-9C8FC54DAC54}"/>
    <hyperlink ref="A3" location="Tilakokonaisuus!A1" display="PALAA ETUSIVULLE" xr:uid="{C4546926-53B2-48FD-873A-B3A8DFF9C2B7}"/>
    <hyperlink ref="A3:B3" location="'Gårdens info'!A1" display="TILL FRAMSIDAN" xr:uid="{E69BC010-F99D-4D84-9CDF-DB8233109945}"/>
    <hyperlink ref="AR12" location="'Avomaan mansikka'!A1" display="AVOMAAN MANSIKKA" xr:uid="{A09E0E72-4E7C-4CCC-B7EA-0FA9CB57AD61}"/>
    <hyperlink ref="BN12" location="'Avomaan mansikka'!A1" display="AVOMAAN MANSIKKA" xr:uid="{7FF351B6-AD15-4053-AE74-3B6112A16F1D}"/>
    <hyperlink ref="CJ12" location="'Avomaan mansikka'!A1" display="AVOMAAN MANSIKKA" xr:uid="{AA5491C5-1EDC-4244-8105-C5FFB33D194E}"/>
    <hyperlink ref="DF12" location="'Avomaan mansikka'!A1" display="AVOMAAN MANSIKKA" xr:uid="{0E8FD258-49A4-4BC5-A2CF-0F2B101EA3B3}"/>
  </hyperlink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EB57F-990A-0A43-A8C9-C0F3DE800855}">
  <dimension ref="A1:X285"/>
  <sheetViews>
    <sheetView topLeftCell="A160" zoomScaleNormal="110" workbookViewId="0">
      <selection activeCell="C97" sqref="C97"/>
    </sheetView>
  </sheetViews>
  <sheetFormatPr defaultColWidth="11.44140625" defaultRowHeight="13.2" x14ac:dyDescent="0.25"/>
  <cols>
    <col min="1" max="1" width="7" customWidth="1"/>
    <col min="2" max="2" width="12.6640625" customWidth="1"/>
    <col min="4" max="4" width="15.33203125" customWidth="1"/>
    <col min="5" max="5" width="7.44140625" customWidth="1"/>
    <col min="8" max="8" width="11.109375" bestFit="1" customWidth="1"/>
    <col min="9" max="9" width="9.21875" customWidth="1"/>
    <col min="10" max="10" width="14.109375" customWidth="1"/>
  </cols>
  <sheetData>
    <row r="1" spans="2:24" ht="28.05" customHeight="1" thickBot="1" x14ac:dyDescent="0.3"/>
    <row r="2" spans="2:24" ht="21" x14ac:dyDescent="0.4">
      <c r="B2" s="415" t="s">
        <v>197</v>
      </c>
      <c r="C2" s="402"/>
      <c r="D2" s="402"/>
      <c r="E2" s="402"/>
      <c r="F2" s="402"/>
      <c r="G2" s="402"/>
      <c r="H2" s="402"/>
      <c r="I2" s="402"/>
      <c r="J2" s="402"/>
      <c r="K2" s="403"/>
      <c r="Q2" s="25"/>
      <c r="R2" s="25"/>
      <c r="S2" s="25"/>
      <c r="T2" s="25"/>
      <c r="U2" s="25"/>
      <c r="V2" s="25"/>
      <c r="W2" s="25"/>
      <c r="X2" s="25"/>
    </row>
    <row r="3" spans="2:24" ht="21" x14ac:dyDescent="0.4">
      <c r="B3" s="416"/>
      <c r="C3" s="307"/>
      <c r="D3" s="307"/>
      <c r="E3" s="307"/>
      <c r="F3" s="307"/>
      <c r="G3" s="307"/>
      <c r="H3" s="307"/>
      <c r="I3" s="307"/>
      <c r="J3" s="307"/>
      <c r="K3" s="405"/>
      <c r="Q3" s="25"/>
      <c r="R3" s="25"/>
      <c r="S3" s="25"/>
      <c r="T3" s="25"/>
      <c r="U3" s="25"/>
      <c r="V3" s="25"/>
      <c r="W3" s="25"/>
      <c r="X3" s="25"/>
    </row>
    <row r="4" spans="2:24" ht="63" customHeight="1" x14ac:dyDescent="0.3">
      <c r="B4" s="938" t="s">
        <v>199</v>
      </c>
      <c r="C4" s="939"/>
      <c r="D4" s="939"/>
      <c r="E4" s="939"/>
      <c r="F4" s="939"/>
      <c r="G4" s="939"/>
      <c r="H4" s="939"/>
      <c r="I4" s="939"/>
      <c r="J4" s="939"/>
      <c r="K4" s="940"/>
      <c r="Q4" s="25"/>
      <c r="R4" s="25"/>
      <c r="S4" s="25"/>
      <c r="T4" s="25"/>
      <c r="U4" s="25"/>
      <c r="V4" s="25"/>
      <c r="W4" s="25"/>
      <c r="X4" s="25"/>
    </row>
    <row r="5" spans="2:24" ht="43.95" customHeight="1" x14ac:dyDescent="0.4">
      <c r="B5" s="404"/>
      <c r="C5" s="307"/>
      <c r="D5" s="307"/>
      <c r="E5" s="307"/>
      <c r="F5" s="307"/>
      <c r="G5" s="307"/>
      <c r="H5" s="307"/>
      <c r="I5" s="307"/>
      <c r="J5" s="307"/>
      <c r="K5" s="405"/>
      <c r="Q5" s="25"/>
      <c r="R5" s="25"/>
      <c r="S5" s="25"/>
      <c r="T5" s="25"/>
      <c r="U5" s="25"/>
      <c r="V5" s="25"/>
      <c r="W5" s="25"/>
      <c r="X5" s="25"/>
    </row>
    <row r="6" spans="2:24" ht="21" x14ac:dyDescent="0.4">
      <c r="B6" s="416" t="s">
        <v>200</v>
      </c>
      <c r="C6" s="307"/>
      <c r="D6" s="307"/>
      <c r="E6" s="307"/>
      <c r="F6" s="307"/>
      <c r="G6" s="310"/>
      <c r="H6" s="307"/>
      <c r="I6" s="307"/>
      <c r="J6" s="307"/>
      <c r="K6" s="405"/>
      <c r="Q6" s="25"/>
      <c r="R6" s="25"/>
      <c r="S6" s="25"/>
      <c r="T6" s="25"/>
      <c r="U6" s="25"/>
      <c r="V6" s="25"/>
      <c r="W6" s="25"/>
      <c r="X6" s="25"/>
    </row>
    <row r="7" spans="2:24" ht="17.399999999999999" x14ac:dyDescent="0.3">
      <c r="B7" s="406" t="s">
        <v>201</v>
      </c>
      <c r="C7" s="307"/>
      <c r="D7" s="307"/>
      <c r="E7" s="307"/>
      <c r="F7" s="310"/>
      <c r="G7" s="310"/>
      <c r="H7" s="307"/>
      <c r="I7" s="307"/>
      <c r="J7" s="307"/>
      <c r="K7" s="405"/>
      <c r="Q7" s="25"/>
      <c r="R7" s="25"/>
      <c r="S7" s="25"/>
      <c r="T7" s="25"/>
      <c r="U7" s="25"/>
      <c r="V7" s="25"/>
      <c r="W7" s="25"/>
      <c r="X7" s="25"/>
    </row>
    <row r="8" spans="2:24" ht="17.399999999999999" x14ac:dyDescent="0.3">
      <c r="B8" s="406"/>
      <c r="C8" s="408" t="s">
        <v>202</v>
      </c>
      <c r="D8" s="307"/>
      <c r="E8" s="307"/>
      <c r="F8" s="310">
        <f>'Gårdens info'!D10</f>
        <v>1</v>
      </c>
      <c r="G8" s="310" t="s">
        <v>0</v>
      </c>
      <c r="H8" s="337">
        <f>Morot!F9</f>
        <v>54240</v>
      </c>
      <c r="I8" s="310" t="s">
        <v>14</v>
      </c>
      <c r="J8" s="337">
        <f t="shared" ref="J8:J11" si="0">F8*H8</f>
        <v>54240</v>
      </c>
      <c r="K8" s="409" t="s">
        <v>154</v>
      </c>
      <c r="Q8" s="25"/>
      <c r="R8" s="25"/>
      <c r="S8" s="25"/>
      <c r="T8" s="25"/>
      <c r="U8" s="25"/>
      <c r="V8" s="25"/>
      <c r="W8" s="25"/>
      <c r="X8" s="25"/>
    </row>
    <row r="9" spans="2:24" ht="17.399999999999999" x14ac:dyDescent="0.3">
      <c r="B9" s="406"/>
      <c r="C9" s="408" t="s">
        <v>203</v>
      </c>
      <c r="D9" s="307"/>
      <c r="E9" s="307"/>
      <c r="F9" s="310">
        <f>'Gårdens info'!D11</f>
        <v>1</v>
      </c>
      <c r="G9" s="310" t="s">
        <v>0</v>
      </c>
      <c r="H9" s="337">
        <f>Kål!F9</f>
        <v>41800</v>
      </c>
      <c r="I9" s="310" t="s">
        <v>14</v>
      </c>
      <c r="J9" s="337">
        <f t="shared" si="0"/>
        <v>41800</v>
      </c>
      <c r="K9" s="409" t="s">
        <v>154</v>
      </c>
      <c r="Q9" s="25"/>
      <c r="R9" s="25"/>
      <c r="S9" s="25"/>
      <c r="T9" s="25"/>
      <c r="U9" s="25"/>
      <c r="V9" s="25"/>
      <c r="W9" s="25"/>
      <c r="X9" s="25"/>
    </row>
    <row r="10" spans="2:24" ht="17.399999999999999" x14ac:dyDescent="0.3">
      <c r="B10" s="406"/>
      <c r="C10" s="408" t="s">
        <v>204</v>
      </c>
      <c r="D10" s="307"/>
      <c r="E10" s="307"/>
      <c r="F10" s="310">
        <f>'Gårdens info'!D12</f>
        <v>1</v>
      </c>
      <c r="G10" s="310" t="s">
        <v>0</v>
      </c>
      <c r="H10" s="337">
        <f>Lök!F9</f>
        <v>33600</v>
      </c>
      <c r="I10" s="310" t="s">
        <v>14</v>
      </c>
      <c r="J10" s="337">
        <f t="shared" si="0"/>
        <v>33600</v>
      </c>
      <c r="K10" s="409" t="s">
        <v>154</v>
      </c>
      <c r="Q10" s="25"/>
      <c r="R10" s="25"/>
      <c r="S10" s="25"/>
      <c r="T10" s="25"/>
      <c r="U10" s="25"/>
      <c r="V10" s="25"/>
      <c r="W10" s="25"/>
      <c r="X10" s="25"/>
    </row>
    <row r="11" spans="2:24" ht="17.399999999999999" x14ac:dyDescent="0.3">
      <c r="B11" s="406"/>
      <c r="C11" s="408" t="s">
        <v>205</v>
      </c>
      <c r="D11" s="307"/>
      <c r="E11" s="307"/>
      <c r="F11" s="310">
        <f>'Gårdens info'!D13</f>
        <v>1</v>
      </c>
      <c r="G11" s="310" t="s">
        <v>0</v>
      </c>
      <c r="H11" s="337">
        <f>Trädgårdsärt!F9</f>
        <v>15200</v>
      </c>
      <c r="I11" s="310" t="s">
        <v>14</v>
      </c>
      <c r="J11" s="337">
        <f t="shared" si="0"/>
        <v>15200</v>
      </c>
      <c r="K11" s="409" t="s">
        <v>154</v>
      </c>
      <c r="Q11" s="25"/>
      <c r="R11" s="25"/>
      <c r="S11" s="25"/>
      <c r="T11" s="25"/>
      <c r="U11" s="25"/>
      <c r="V11" s="25"/>
      <c r="W11" s="25"/>
      <c r="X11" s="25"/>
    </row>
    <row r="12" spans="2:24" ht="17.399999999999999" x14ac:dyDescent="0.3">
      <c r="B12" s="406"/>
      <c r="C12" s="408" t="s">
        <v>206</v>
      </c>
      <c r="D12" s="307"/>
      <c r="E12" s="307"/>
      <c r="F12" s="310">
        <f>'Gårdens info'!D14</f>
        <v>0</v>
      </c>
      <c r="G12" s="310" t="s">
        <v>0</v>
      </c>
      <c r="H12" s="337">
        <f>'Grönsak från frö 1'!F9</f>
        <v>0</v>
      </c>
      <c r="I12" s="310" t="s">
        <v>14</v>
      </c>
      <c r="J12" s="337">
        <f t="shared" ref="J12:J16" si="1">F12*H12</f>
        <v>0</v>
      </c>
      <c r="K12" s="409" t="s">
        <v>154</v>
      </c>
      <c r="Q12" s="25"/>
      <c r="R12" s="25"/>
      <c r="S12" s="25"/>
      <c r="T12" s="25"/>
      <c r="U12" s="25"/>
      <c r="V12" s="25"/>
      <c r="W12" s="25"/>
      <c r="X12" s="25"/>
    </row>
    <row r="13" spans="2:24" ht="17.399999999999999" x14ac:dyDescent="0.3">
      <c r="B13" s="406"/>
      <c r="C13" s="408" t="s">
        <v>207</v>
      </c>
      <c r="D13" s="307"/>
      <c r="E13" s="307"/>
      <c r="F13" s="310">
        <f>'Gårdens info'!D15</f>
        <v>0</v>
      </c>
      <c r="G13" s="310" t="s">
        <v>0</v>
      </c>
      <c r="H13" s="337">
        <f>'Grönsak från frö 2'!F9</f>
        <v>0</v>
      </c>
      <c r="I13" s="310" t="s">
        <v>14</v>
      </c>
      <c r="J13" s="337">
        <f t="shared" si="1"/>
        <v>0</v>
      </c>
      <c r="K13" s="409" t="s">
        <v>154</v>
      </c>
      <c r="Q13" s="25"/>
      <c r="R13" s="25"/>
      <c r="S13" s="25"/>
      <c r="T13" s="25"/>
      <c r="U13" s="25"/>
      <c r="V13" s="25"/>
      <c r="W13" s="25"/>
      <c r="X13" s="25"/>
    </row>
    <row r="14" spans="2:24" ht="17.399999999999999" x14ac:dyDescent="0.3">
      <c r="B14" s="406"/>
      <c r="C14" s="408" t="s">
        <v>208</v>
      </c>
      <c r="D14" s="307"/>
      <c r="E14" s="307"/>
      <c r="F14" s="310">
        <f>'Gårdens info'!D16</f>
        <v>0</v>
      </c>
      <c r="G14" s="310" t="s">
        <v>0</v>
      </c>
      <c r="H14" s="337">
        <f>'Planterad grönsak 1'!F9</f>
        <v>0</v>
      </c>
      <c r="I14" s="310" t="s">
        <v>14</v>
      </c>
      <c r="J14" s="337">
        <f t="shared" si="1"/>
        <v>0</v>
      </c>
      <c r="K14" s="409" t="s">
        <v>154</v>
      </c>
      <c r="Q14" s="25"/>
      <c r="R14" s="25"/>
      <c r="S14" s="25"/>
      <c r="T14" s="25"/>
      <c r="U14" s="25"/>
      <c r="V14" s="25"/>
      <c r="W14" s="25"/>
      <c r="X14" s="25"/>
    </row>
    <row r="15" spans="2:24" ht="17.399999999999999" x14ac:dyDescent="0.3">
      <c r="B15" s="406"/>
      <c r="C15" s="408" t="s">
        <v>209</v>
      </c>
      <c r="D15" s="307"/>
      <c r="E15" s="307"/>
      <c r="F15" s="310">
        <f>'Gårdens info'!D17</f>
        <v>0</v>
      </c>
      <c r="G15" s="310" t="s">
        <v>0</v>
      </c>
      <c r="H15" s="337">
        <f>'Planterad grönsak 2'!F9</f>
        <v>0</v>
      </c>
      <c r="I15" s="310" t="s">
        <v>14</v>
      </c>
      <c r="J15" s="337">
        <f t="shared" si="1"/>
        <v>0</v>
      </c>
      <c r="K15" s="409" t="s">
        <v>154</v>
      </c>
      <c r="Q15" s="25"/>
      <c r="R15" s="25"/>
      <c r="S15" s="25"/>
      <c r="T15" s="25"/>
      <c r="U15" s="25"/>
      <c r="V15" s="25"/>
      <c r="W15" s="25"/>
      <c r="X15" s="25"/>
    </row>
    <row r="16" spans="2:24" ht="17.399999999999999" x14ac:dyDescent="0.3">
      <c r="B16" s="406"/>
      <c r="C16" s="408" t="s">
        <v>210</v>
      </c>
      <c r="D16" s="307"/>
      <c r="E16" s="307"/>
      <c r="F16" s="310">
        <f>'Gårdens info'!D18</f>
        <v>0</v>
      </c>
      <c r="G16" s="310" t="s">
        <v>0</v>
      </c>
      <c r="H16" s="337">
        <f>'Planterad grönsak 3'!F9</f>
        <v>0</v>
      </c>
      <c r="I16" s="310" t="s">
        <v>14</v>
      </c>
      <c r="J16" s="337">
        <f t="shared" si="1"/>
        <v>0</v>
      </c>
      <c r="K16" s="409" t="s">
        <v>154</v>
      </c>
      <c r="Q16" s="25"/>
      <c r="R16" s="25"/>
      <c r="S16" s="25"/>
      <c r="T16" s="25"/>
      <c r="U16" s="25"/>
      <c r="V16" s="25"/>
      <c r="W16" s="25"/>
      <c r="X16" s="25"/>
    </row>
    <row r="17" spans="2:24" ht="17.399999999999999" x14ac:dyDescent="0.3">
      <c r="B17" s="407"/>
      <c r="C17" s="408" t="s">
        <v>211</v>
      </c>
      <c r="D17" s="307"/>
      <c r="E17" s="307"/>
      <c r="F17" s="310">
        <f>'Gårdens info'!D22</f>
        <v>5</v>
      </c>
      <c r="G17" s="310" t="s">
        <v>0</v>
      </c>
      <c r="H17" s="337">
        <f>IF(F17&gt;0,'Jordgubbe friland'!F9,0)</f>
        <v>17170</v>
      </c>
      <c r="I17" s="310" t="s">
        <v>14</v>
      </c>
      <c r="J17" s="337">
        <f t="shared" ref="J17:J29" si="2">F17*H17</f>
        <v>85850</v>
      </c>
      <c r="K17" s="409" t="s">
        <v>154</v>
      </c>
      <c r="Q17" s="25"/>
      <c r="R17" s="25"/>
      <c r="S17" s="25"/>
      <c r="T17" s="25"/>
      <c r="U17" s="25"/>
      <c r="V17" s="25"/>
      <c r="W17" s="25"/>
      <c r="X17" s="25"/>
    </row>
    <row r="18" spans="2:24" ht="17.399999999999999" x14ac:dyDescent="0.3">
      <c r="B18" s="407"/>
      <c r="C18" s="408" t="s">
        <v>212</v>
      </c>
      <c r="D18" s="307"/>
      <c r="E18" s="307"/>
      <c r="F18" s="310">
        <f>'Gårdens info'!D23</f>
        <v>1</v>
      </c>
      <c r="G18" s="310" t="s">
        <v>0</v>
      </c>
      <c r="H18" s="337">
        <f>IF(F18&gt;0,'Jordgubbe tunnel'!F9,0)</f>
        <v>40400</v>
      </c>
      <c r="I18" s="310" t="s">
        <v>14</v>
      </c>
      <c r="J18" s="337">
        <f t="shared" si="2"/>
        <v>40400</v>
      </c>
      <c r="K18" s="409" t="s">
        <v>154</v>
      </c>
      <c r="Q18" s="25"/>
      <c r="R18" s="25"/>
      <c r="S18" s="25"/>
      <c r="T18" s="25"/>
      <c r="U18" s="25"/>
      <c r="V18" s="25"/>
      <c r="W18" s="25"/>
      <c r="X18" s="25"/>
    </row>
    <row r="19" spans="2:24" ht="17.399999999999999" x14ac:dyDescent="0.3">
      <c r="B19" s="407"/>
      <c r="C19" s="408" t="s">
        <v>213</v>
      </c>
      <c r="D19" s="307"/>
      <c r="E19" s="307"/>
      <c r="F19" s="310">
        <f>'Gårdens info'!D24</f>
        <v>4</v>
      </c>
      <c r="G19" s="310" t="s">
        <v>0</v>
      </c>
      <c r="H19" s="311">
        <f>IF(F19&gt;0,'Hallon friland'!F9,0)</f>
        <v>23132.5</v>
      </c>
      <c r="I19" s="310" t="s">
        <v>14</v>
      </c>
      <c r="J19" s="337">
        <f t="shared" si="2"/>
        <v>92530</v>
      </c>
      <c r="K19" s="409" t="s">
        <v>154</v>
      </c>
      <c r="Q19" s="25"/>
      <c r="R19" s="25"/>
      <c r="S19" s="25"/>
      <c r="T19" s="25"/>
      <c r="U19" s="25"/>
      <c r="V19" s="25"/>
      <c r="W19" s="25"/>
      <c r="X19" s="25"/>
    </row>
    <row r="20" spans="2:24" ht="17.399999999999999" x14ac:dyDescent="0.3">
      <c r="B20" s="407"/>
      <c r="C20" s="408" t="s">
        <v>214</v>
      </c>
      <c r="D20" s="307"/>
      <c r="E20" s="307"/>
      <c r="F20" s="310">
        <f>'Gårdens info'!D25</f>
        <v>1</v>
      </c>
      <c r="G20" s="310" t="s">
        <v>0</v>
      </c>
      <c r="H20" s="337">
        <f>IF(F20&gt;0,'Hallon tunnel'!F9,0)</f>
        <v>23132.5</v>
      </c>
      <c r="I20" s="310" t="s">
        <v>14</v>
      </c>
      <c r="J20" s="337">
        <f t="shared" si="2"/>
        <v>23132.5</v>
      </c>
      <c r="K20" s="409" t="s">
        <v>154</v>
      </c>
      <c r="Q20" s="25"/>
      <c r="R20" s="25"/>
      <c r="S20" s="25"/>
      <c r="T20" s="25"/>
      <c r="U20" s="25"/>
      <c r="V20" s="25"/>
      <c r="W20" s="25"/>
      <c r="X20" s="25"/>
    </row>
    <row r="21" spans="2:24" ht="17.399999999999999" x14ac:dyDescent="0.3">
      <c r="B21" s="407"/>
      <c r="C21" s="408" t="s">
        <v>215</v>
      </c>
      <c r="D21" s="307"/>
      <c r="E21" s="307"/>
      <c r="F21" s="310">
        <f>'Gårdens info'!D26</f>
        <v>5</v>
      </c>
      <c r="G21" s="310" t="s">
        <v>0</v>
      </c>
      <c r="H21" s="337">
        <f>IF(F21&gt;0,'Svarta vinbär'!F9,0)</f>
        <v>18850</v>
      </c>
      <c r="I21" s="310" t="s">
        <v>14</v>
      </c>
      <c r="J21" s="337">
        <f t="shared" si="2"/>
        <v>94250</v>
      </c>
      <c r="K21" s="409" t="s">
        <v>154</v>
      </c>
      <c r="Q21" s="25"/>
      <c r="R21" s="25"/>
      <c r="S21" s="25"/>
      <c r="T21" s="25"/>
      <c r="U21" s="25"/>
      <c r="V21" s="25"/>
      <c r="W21" s="25"/>
      <c r="X21" s="25"/>
    </row>
    <row r="22" spans="2:24" ht="17.399999999999999" x14ac:dyDescent="0.3">
      <c r="B22" s="407"/>
      <c r="C22" s="408" t="s">
        <v>216</v>
      </c>
      <c r="D22" s="307"/>
      <c r="E22" s="307"/>
      <c r="F22" s="310">
        <f>'Gårdens info'!D27</f>
        <v>1</v>
      </c>
      <c r="G22" s="310" t="s">
        <v>0</v>
      </c>
      <c r="H22" s="337">
        <f>IF(F22&gt;0,Buskblåbär!F9,0)</f>
        <v>53685</v>
      </c>
      <c r="I22" s="310" t="s">
        <v>14</v>
      </c>
      <c r="J22" s="337">
        <f t="shared" si="2"/>
        <v>53685</v>
      </c>
      <c r="K22" s="409" t="s">
        <v>154</v>
      </c>
      <c r="Q22" s="25"/>
      <c r="R22" s="25"/>
      <c r="S22" s="25"/>
      <c r="T22" s="25"/>
      <c r="U22" s="25"/>
      <c r="V22" s="25"/>
      <c r="W22" s="25"/>
      <c r="X22" s="25"/>
    </row>
    <row r="23" spans="2:24" ht="17.399999999999999" x14ac:dyDescent="0.3">
      <c r="B23" s="407"/>
      <c r="C23" s="408" t="s">
        <v>198</v>
      </c>
      <c r="D23" s="307"/>
      <c r="E23" s="307"/>
      <c r="F23" s="310">
        <f>'Gårdens info'!D28</f>
        <v>3</v>
      </c>
      <c r="G23" s="310" t="s">
        <v>0</v>
      </c>
      <c r="H23" s="337">
        <f>IF(F23&gt;0,Äpple!F9,0)</f>
        <v>23233.333333333332</v>
      </c>
      <c r="I23" s="310" t="s">
        <v>14</v>
      </c>
      <c r="J23" s="337">
        <f t="shared" si="2"/>
        <v>69700</v>
      </c>
      <c r="K23" s="409" t="s">
        <v>154</v>
      </c>
      <c r="Q23" s="25"/>
      <c r="R23" s="25"/>
      <c r="S23" s="25"/>
      <c r="T23" s="25"/>
      <c r="U23" s="25"/>
      <c r="V23" s="25"/>
      <c r="W23" s="25"/>
      <c r="X23" s="25"/>
    </row>
    <row r="24" spans="2:24" ht="17.399999999999999" x14ac:dyDescent="0.3">
      <c r="B24" s="407"/>
      <c r="C24" s="408" t="s">
        <v>217</v>
      </c>
      <c r="D24" s="307"/>
      <c r="E24" s="307"/>
      <c r="F24" s="310">
        <f>'Gårdens info'!D31</f>
        <v>3</v>
      </c>
      <c r="G24" s="310" t="s">
        <v>0</v>
      </c>
      <c r="H24" s="337">
        <f>IF(F24&gt;0,Havre!F9,0)</f>
        <v>945.00000000000011</v>
      </c>
      <c r="I24" s="310" t="s">
        <v>14</v>
      </c>
      <c r="J24" s="337">
        <f>F24*H24</f>
        <v>2835.0000000000005</v>
      </c>
      <c r="K24" s="409" t="s">
        <v>154</v>
      </c>
    </row>
    <row r="25" spans="2:24" ht="17.399999999999999" x14ac:dyDescent="0.3">
      <c r="B25" s="407"/>
      <c r="C25" s="408" t="s">
        <v>218</v>
      </c>
      <c r="D25" s="307"/>
      <c r="E25" s="307"/>
      <c r="F25" s="310">
        <f>'Gårdens info'!D32</f>
        <v>0</v>
      </c>
      <c r="G25" s="310" t="s">
        <v>0</v>
      </c>
      <c r="H25" s="337">
        <f>IF(F25&gt;0,Korn!F9,0)</f>
        <v>0</v>
      </c>
      <c r="I25" s="310" t="s">
        <v>14</v>
      </c>
      <c r="J25" s="337">
        <f t="shared" ref="J25:J28" si="3">F25*H25</f>
        <v>0</v>
      </c>
      <c r="K25" s="409" t="s">
        <v>154</v>
      </c>
    </row>
    <row r="26" spans="2:24" ht="17.399999999999999" x14ac:dyDescent="0.3">
      <c r="B26" s="407"/>
      <c r="C26" s="408" t="s">
        <v>219</v>
      </c>
      <c r="D26" s="307"/>
      <c r="E26" s="307"/>
      <c r="F26" s="310">
        <f>'Gårdens info'!D33</f>
        <v>0</v>
      </c>
      <c r="G26" s="310" t="s">
        <v>0</v>
      </c>
      <c r="H26" s="337">
        <f>IF(F26&gt;0,Vete!F9,0)</f>
        <v>0</v>
      </c>
      <c r="I26" s="310" t="s">
        <v>14</v>
      </c>
      <c r="J26" s="337">
        <f t="shared" si="3"/>
        <v>0</v>
      </c>
      <c r="K26" s="409" t="s">
        <v>154</v>
      </c>
    </row>
    <row r="27" spans="2:24" ht="17.399999999999999" x14ac:dyDescent="0.3">
      <c r="B27" s="407"/>
      <c r="C27" s="408" t="s">
        <v>220</v>
      </c>
      <c r="D27" s="307"/>
      <c r="E27" s="307"/>
      <c r="F27" s="310">
        <f>'Gårdens info'!D34</f>
        <v>0</v>
      </c>
      <c r="G27" s="310" t="s">
        <v>0</v>
      </c>
      <c r="H27" s="337">
        <f>Höstråg!F9</f>
        <v>0</v>
      </c>
      <c r="I27" s="310" t="s">
        <v>14</v>
      </c>
      <c r="J27" s="337">
        <f t="shared" ref="J27" si="4">F27*H27</f>
        <v>0</v>
      </c>
      <c r="K27" s="409" t="s">
        <v>154</v>
      </c>
    </row>
    <row r="28" spans="2:24" ht="17.399999999999999" x14ac:dyDescent="0.3">
      <c r="B28" s="407"/>
      <c r="C28" s="408" t="s">
        <v>223</v>
      </c>
      <c r="D28" s="307"/>
      <c r="E28" s="307"/>
      <c r="F28" s="310">
        <f>'Gårdens info'!D35</f>
        <v>0</v>
      </c>
      <c r="G28" s="310" t="s">
        <v>0</v>
      </c>
      <c r="H28" s="337">
        <f>IF(F28&gt;0,Naturvårdsåker!F9,0)</f>
        <v>0</v>
      </c>
      <c r="I28" s="310" t="s">
        <v>14</v>
      </c>
      <c r="J28" s="337">
        <f t="shared" si="3"/>
        <v>0</v>
      </c>
      <c r="K28" s="409" t="s">
        <v>154</v>
      </c>
    </row>
    <row r="29" spans="2:24" ht="17.399999999999999" x14ac:dyDescent="0.3">
      <c r="B29" s="407"/>
      <c r="C29" s="408" t="s">
        <v>221</v>
      </c>
      <c r="D29" s="307"/>
      <c r="E29" s="307"/>
      <c r="F29" s="310">
        <f>'Gårdens info'!D36</f>
        <v>0</v>
      </c>
      <c r="G29" s="310" t="s">
        <v>0</v>
      </c>
      <c r="H29" s="337">
        <f>Vall!F9</f>
        <v>0</v>
      </c>
      <c r="I29" s="310" t="s">
        <v>14</v>
      </c>
      <c r="J29" s="337">
        <f t="shared" si="2"/>
        <v>0</v>
      </c>
      <c r="K29" s="409" t="s">
        <v>154</v>
      </c>
    </row>
    <row r="30" spans="2:24" s="8" customFormat="1" ht="18" x14ac:dyDescent="0.35">
      <c r="B30" s="410"/>
      <c r="C30" s="411" t="s">
        <v>222</v>
      </c>
      <c r="D30" s="344"/>
      <c r="E30" s="344"/>
      <c r="F30" s="345">
        <f>SUM(F17:F29)</f>
        <v>23</v>
      </c>
      <c r="G30" s="345" t="s">
        <v>0</v>
      </c>
      <c r="H30" s="412"/>
      <c r="I30" s="345"/>
      <c r="J30" s="412">
        <f>SUM(J8:J29)</f>
        <v>607222.5</v>
      </c>
      <c r="K30" s="413" t="s">
        <v>154</v>
      </c>
    </row>
    <row r="31" spans="2:24" ht="17.399999999999999" x14ac:dyDescent="0.3">
      <c r="B31" s="407"/>
      <c r="C31" s="408"/>
      <c r="D31" s="307"/>
      <c r="E31" s="307"/>
      <c r="F31" s="310"/>
      <c r="G31" s="310"/>
      <c r="H31" s="310"/>
      <c r="I31" s="310"/>
      <c r="J31" s="310"/>
      <c r="K31" s="409"/>
    </row>
    <row r="32" spans="2:24" s="77" customFormat="1" ht="17.399999999999999" x14ac:dyDescent="0.3">
      <c r="B32" s="406" t="s">
        <v>224</v>
      </c>
      <c r="C32" s="425" t="s">
        <v>4</v>
      </c>
      <c r="D32" s="310"/>
      <c r="E32" s="310"/>
      <c r="F32" s="310">
        <f>'Gårdens info'!D37</f>
        <v>27</v>
      </c>
      <c r="G32" s="310" t="s">
        <v>0</v>
      </c>
      <c r="H32" s="311">
        <f>J32/F32</f>
        <v>0</v>
      </c>
      <c r="I32" s="310" t="s">
        <v>14</v>
      </c>
      <c r="J32" s="337">
        <f>'Jordgubbe friland'!F10+'Jordgubbe tunnel'!F10+'Hallon friland'!F10+'Hallon tunnel'!F10+'Svarta vinbär'!F10+Buskblåbär!F10+Äpple!F10</f>
        <v>0</v>
      </c>
      <c r="K32" s="409" t="s">
        <v>154</v>
      </c>
    </row>
    <row r="33" spans="1:11" x14ac:dyDescent="0.25">
      <c r="B33" s="414"/>
      <c r="C33" s="307"/>
      <c r="D33" s="307"/>
      <c r="E33" s="307"/>
      <c r="F33" s="307"/>
      <c r="G33" s="307"/>
      <c r="H33" s="307"/>
      <c r="I33" s="307"/>
      <c r="J33" s="307"/>
      <c r="K33" s="405"/>
    </row>
    <row r="34" spans="1:11" s="365" customFormat="1" ht="21" x14ac:dyDescent="0.4">
      <c r="A34" s="399"/>
      <c r="B34" s="932" t="s">
        <v>225</v>
      </c>
      <c r="C34" s="933"/>
      <c r="D34" s="933"/>
      <c r="E34" s="417"/>
      <c r="F34" s="417"/>
      <c r="G34" s="417"/>
      <c r="H34" s="417"/>
      <c r="I34" s="417"/>
      <c r="J34" s="418">
        <f>J32+J30</f>
        <v>607222.5</v>
      </c>
      <c r="K34" s="419" t="s">
        <v>154</v>
      </c>
    </row>
    <row r="35" spans="1:11" ht="34.049999999999997" customHeight="1" x14ac:dyDescent="0.25">
      <c r="B35" s="414"/>
      <c r="C35" s="307"/>
      <c r="D35" s="307"/>
      <c r="E35" s="307"/>
      <c r="F35" s="307"/>
      <c r="G35" s="307"/>
      <c r="H35" s="307"/>
      <c r="I35" s="307"/>
      <c r="J35" s="307"/>
      <c r="K35" s="405"/>
    </row>
    <row r="36" spans="1:11" ht="21" x14ac:dyDescent="0.4">
      <c r="B36" s="319" t="s">
        <v>227</v>
      </c>
      <c r="C36" s="307"/>
      <c r="D36" s="307"/>
      <c r="E36" s="307"/>
      <c r="F36" s="310"/>
      <c r="G36" s="307"/>
      <c r="H36" s="307"/>
      <c r="I36" s="307"/>
      <c r="J36" s="307"/>
      <c r="K36" s="405"/>
    </row>
    <row r="37" spans="1:11" ht="21" x14ac:dyDescent="0.4">
      <c r="B37" s="319"/>
      <c r="C37" s="408" t="s">
        <v>202</v>
      </c>
      <c r="D37" s="307"/>
      <c r="E37" s="307"/>
      <c r="F37" s="310">
        <f>'Gårdens info'!D10</f>
        <v>1</v>
      </c>
      <c r="G37" s="310" t="s">
        <v>0</v>
      </c>
      <c r="H37" s="337">
        <f>Morot!F28</f>
        <v>6860.1072592592591</v>
      </c>
      <c r="I37" s="310" t="s">
        <v>14</v>
      </c>
      <c r="J37" s="337">
        <f t="shared" ref="J37:J39" si="5">F37*H37</f>
        <v>6860.1072592592591</v>
      </c>
      <c r="K37" s="409" t="s">
        <v>154</v>
      </c>
    </row>
    <row r="38" spans="1:11" ht="21" x14ac:dyDescent="0.4">
      <c r="B38" s="319"/>
      <c r="C38" s="408" t="s">
        <v>203</v>
      </c>
      <c r="D38" s="307"/>
      <c r="E38" s="307"/>
      <c r="F38" s="310">
        <f>'Gårdens info'!D11</f>
        <v>1</v>
      </c>
      <c r="G38" s="310" t="s">
        <v>0</v>
      </c>
      <c r="H38" s="337">
        <f>Kål!F28</f>
        <v>10746.779259259261</v>
      </c>
      <c r="I38" s="310" t="s">
        <v>14</v>
      </c>
      <c r="J38" s="337">
        <f t="shared" si="5"/>
        <v>10746.779259259261</v>
      </c>
      <c r="K38" s="409" t="s">
        <v>154</v>
      </c>
    </row>
    <row r="39" spans="1:11" ht="21" x14ac:dyDescent="0.4">
      <c r="B39" s="319"/>
      <c r="C39" s="408" t="s">
        <v>204</v>
      </c>
      <c r="D39" s="307"/>
      <c r="E39" s="307"/>
      <c r="F39" s="310">
        <f>'Gårdens info'!D12</f>
        <v>1</v>
      </c>
      <c r="G39" s="310" t="s">
        <v>0</v>
      </c>
      <c r="H39" s="337">
        <f>Lök!F28</f>
        <v>8289.2127592592606</v>
      </c>
      <c r="I39" s="310" t="s">
        <v>14</v>
      </c>
      <c r="J39" s="337">
        <f t="shared" si="5"/>
        <v>8289.2127592592606</v>
      </c>
      <c r="K39" s="409" t="s">
        <v>154</v>
      </c>
    </row>
    <row r="40" spans="1:11" ht="21" x14ac:dyDescent="0.4">
      <c r="B40" s="319"/>
      <c r="C40" s="408" t="s">
        <v>205</v>
      </c>
      <c r="D40" s="307"/>
      <c r="E40" s="307"/>
      <c r="F40" s="310">
        <f>'Gårdens info'!D13</f>
        <v>1</v>
      </c>
      <c r="G40" s="310" t="s">
        <v>0</v>
      </c>
      <c r="H40" s="337">
        <f>Trädgårdsärt!F28</f>
        <v>3131.8392592592591</v>
      </c>
      <c r="I40" s="310" t="s">
        <v>14</v>
      </c>
      <c r="J40" s="337">
        <f t="shared" ref="J40" si="6">F40*H40</f>
        <v>3131.8392592592591</v>
      </c>
      <c r="K40" s="409" t="s">
        <v>154</v>
      </c>
    </row>
    <row r="41" spans="1:11" ht="21" x14ac:dyDescent="0.4">
      <c r="B41" s="319"/>
      <c r="C41" s="408" t="s">
        <v>206</v>
      </c>
      <c r="D41" s="307"/>
      <c r="E41" s="307"/>
      <c r="F41" s="337">
        <f>'Grönsak från frö 1'!F28</f>
        <v>0</v>
      </c>
      <c r="G41" s="310" t="s">
        <v>0</v>
      </c>
      <c r="H41" s="337">
        <f>'Grönsak från frö 1'!F24</f>
        <v>0</v>
      </c>
      <c r="I41" s="310" t="s">
        <v>14</v>
      </c>
      <c r="J41" s="337">
        <f t="shared" ref="J41:J45" si="7">F41*H41</f>
        <v>0</v>
      </c>
      <c r="K41" s="409" t="s">
        <v>154</v>
      </c>
    </row>
    <row r="42" spans="1:11" ht="21" x14ac:dyDescent="0.4">
      <c r="B42" s="319"/>
      <c r="C42" s="408" t="s">
        <v>207</v>
      </c>
      <c r="D42" s="307"/>
      <c r="E42" s="307"/>
      <c r="F42" s="337">
        <f>'Grönsak från frö 2'!F28</f>
        <v>0</v>
      </c>
      <c r="G42" s="310" t="s">
        <v>0</v>
      </c>
      <c r="H42" s="337">
        <f>'Grönsak från frö 2'!F24</f>
        <v>0</v>
      </c>
      <c r="I42" s="310" t="s">
        <v>14</v>
      </c>
      <c r="J42" s="337">
        <f t="shared" si="7"/>
        <v>0</v>
      </c>
      <c r="K42" s="409" t="s">
        <v>154</v>
      </c>
    </row>
    <row r="43" spans="1:11" ht="21" x14ac:dyDescent="0.4">
      <c r="B43" s="319"/>
      <c r="C43" s="408" t="s">
        <v>208</v>
      </c>
      <c r="D43" s="307"/>
      <c r="E43" s="307"/>
      <c r="F43" s="337">
        <f>'Planterad grönsak 1'!F28</f>
        <v>0</v>
      </c>
      <c r="G43" s="310" t="s">
        <v>0</v>
      </c>
      <c r="H43" s="337">
        <f>'Planterad grönsak 1'!F24</f>
        <v>0</v>
      </c>
      <c r="I43" s="310" t="s">
        <v>14</v>
      </c>
      <c r="J43" s="337">
        <f t="shared" si="7"/>
        <v>0</v>
      </c>
      <c r="K43" s="409" t="s">
        <v>154</v>
      </c>
    </row>
    <row r="44" spans="1:11" ht="21" x14ac:dyDescent="0.4">
      <c r="B44" s="319"/>
      <c r="C44" s="408" t="s">
        <v>209</v>
      </c>
      <c r="D44" s="307"/>
      <c r="E44" s="307"/>
      <c r="F44" s="337">
        <f>'Planterad grönsak 2'!F28</f>
        <v>0</v>
      </c>
      <c r="G44" s="310" t="s">
        <v>0</v>
      </c>
      <c r="H44" s="337">
        <f>'Planterad grönsak 2'!F24</f>
        <v>0</v>
      </c>
      <c r="I44" s="310" t="s">
        <v>14</v>
      </c>
      <c r="J44" s="337">
        <f t="shared" si="7"/>
        <v>0</v>
      </c>
      <c r="K44" s="409" t="s">
        <v>154</v>
      </c>
    </row>
    <row r="45" spans="1:11" ht="21" x14ac:dyDescent="0.4">
      <c r="B45" s="319"/>
      <c r="C45" s="408" t="s">
        <v>210</v>
      </c>
      <c r="D45" s="307"/>
      <c r="E45" s="307"/>
      <c r="F45" s="337">
        <f>'Planterad grönsak 3'!F28</f>
        <v>0</v>
      </c>
      <c r="G45" s="310" t="s">
        <v>0</v>
      </c>
      <c r="H45" s="337">
        <f>'Planterad grönsak 3'!F24</f>
        <v>0</v>
      </c>
      <c r="I45" s="310" t="s">
        <v>14</v>
      </c>
      <c r="J45" s="337">
        <f t="shared" si="7"/>
        <v>0</v>
      </c>
      <c r="K45" s="409" t="s">
        <v>154</v>
      </c>
    </row>
    <row r="46" spans="1:11" ht="17.399999999999999" x14ac:dyDescent="0.3">
      <c r="B46" s="414"/>
      <c r="C46" s="408" t="s">
        <v>211</v>
      </c>
      <c r="D46" s="307"/>
      <c r="E46" s="307"/>
      <c r="F46" s="310">
        <f>'Gårdens info'!D22</f>
        <v>5</v>
      </c>
      <c r="G46" s="310" t="s">
        <v>0</v>
      </c>
      <c r="H46" s="337">
        <f>IF(F46&gt;0,'Jordgubbe friland'!F44,0)</f>
        <v>31602.965037037036</v>
      </c>
      <c r="I46" s="310" t="s">
        <v>14</v>
      </c>
      <c r="J46" s="337">
        <f>F46*H46</f>
        <v>158014.82518518518</v>
      </c>
      <c r="K46" s="409" t="s">
        <v>154</v>
      </c>
    </row>
    <row r="47" spans="1:11" ht="17.399999999999999" x14ac:dyDescent="0.3">
      <c r="B47" s="414"/>
      <c r="C47" s="408" t="s">
        <v>212</v>
      </c>
      <c r="D47" s="307"/>
      <c r="E47" s="307"/>
      <c r="F47" s="310">
        <f>'Gårdens info'!D23</f>
        <v>1</v>
      </c>
      <c r="G47" s="310" t="s">
        <v>0</v>
      </c>
      <c r="H47" s="337">
        <f>'Jordgubbe tunnel'!F29</f>
        <v>96390.019259259265</v>
      </c>
      <c r="I47" s="310" t="s">
        <v>14</v>
      </c>
      <c r="J47" s="337">
        <f t="shared" ref="J47:J58" si="8">F47*H47</f>
        <v>96390.019259259265</v>
      </c>
      <c r="K47" s="409" t="s">
        <v>154</v>
      </c>
    </row>
    <row r="48" spans="1:11" ht="17.399999999999999" x14ac:dyDescent="0.3">
      <c r="B48" s="414"/>
      <c r="C48" s="408" t="s">
        <v>213</v>
      </c>
      <c r="D48" s="307"/>
      <c r="E48" s="307"/>
      <c r="F48" s="310">
        <f>'Gårdens info'!D24</f>
        <v>4</v>
      </c>
      <c r="G48" s="310" t="s">
        <v>0</v>
      </c>
      <c r="H48" s="337">
        <f>'Hallon friland'!F43</f>
        <v>37890.900759259268</v>
      </c>
      <c r="I48" s="310" t="s">
        <v>14</v>
      </c>
      <c r="J48" s="337">
        <f t="shared" si="8"/>
        <v>151563.60303703707</v>
      </c>
      <c r="K48" s="409" t="s">
        <v>154</v>
      </c>
    </row>
    <row r="49" spans="2:11" ht="17.399999999999999" x14ac:dyDescent="0.3">
      <c r="B49" s="414"/>
      <c r="C49" s="408" t="s">
        <v>214</v>
      </c>
      <c r="D49" s="307"/>
      <c r="E49" s="307"/>
      <c r="F49" s="310">
        <f>'Gårdens info'!D25</f>
        <v>1</v>
      </c>
      <c r="G49" s="310" t="s">
        <v>0</v>
      </c>
      <c r="H49" s="337">
        <f>'Hallon tunnel'!F28</f>
        <v>12070.867259259263</v>
      </c>
      <c r="I49" s="310" t="s">
        <v>14</v>
      </c>
      <c r="J49" s="337">
        <f t="shared" si="8"/>
        <v>12070.867259259263</v>
      </c>
      <c r="K49" s="409" t="s">
        <v>154</v>
      </c>
    </row>
    <row r="50" spans="2:11" ht="17.399999999999999" x14ac:dyDescent="0.3">
      <c r="B50" s="414"/>
      <c r="C50" s="408" t="s">
        <v>215</v>
      </c>
      <c r="D50" s="307"/>
      <c r="E50" s="307"/>
      <c r="F50" s="310">
        <f>'Gårdens info'!D26</f>
        <v>5</v>
      </c>
      <c r="G50" s="310" t="s">
        <v>0</v>
      </c>
      <c r="H50" s="337">
        <f>IF(F50&gt;0,'Svarta vinbär'!F52,0)</f>
        <v>20889.605614814816</v>
      </c>
      <c r="I50" s="310" t="s">
        <v>14</v>
      </c>
      <c r="J50" s="337">
        <f t="shared" si="8"/>
        <v>104448.02807407409</v>
      </c>
      <c r="K50" s="409" t="s">
        <v>154</v>
      </c>
    </row>
    <row r="51" spans="2:11" ht="17.399999999999999" x14ac:dyDescent="0.3">
      <c r="B51" s="414"/>
      <c r="C51" s="408" t="s">
        <v>216</v>
      </c>
      <c r="D51" s="307"/>
      <c r="E51" s="307"/>
      <c r="F51" s="310">
        <f>'Gårdens info'!D27</f>
        <v>1</v>
      </c>
      <c r="G51" s="310" t="s">
        <v>0</v>
      </c>
      <c r="H51" s="337">
        <f>IF(F51&gt;0,Buskblåbär!F55,0)</f>
        <v>24886.79405925926</v>
      </c>
      <c r="I51" s="310" t="s">
        <v>14</v>
      </c>
      <c r="J51" s="337">
        <f t="shared" si="8"/>
        <v>24886.79405925926</v>
      </c>
      <c r="K51" s="409" t="s">
        <v>154</v>
      </c>
    </row>
    <row r="52" spans="2:11" ht="17.399999999999999" x14ac:dyDescent="0.3">
      <c r="B52" s="414"/>
      <c r="C52" s="408" t="s">
        <v>198</v>
      </c>
      <c r="D52" s="307"/>
      <c r="E52" s="307"/>
      <c r="F52" s="310">
        <f>'Gårdens info'!D28</f>
        <v>3</v>
      </c>
      <c r="G52" s="310" t="s">
        <v>0</v>
      </c>
      <c r="H52" s="337">
        <f>Äpple!F55</f>
        <v>28447.06868148148</v>
      </c>
      <c r="I52" s="310" t="s">
        <v>14</v>
      </c>
      <c r="J52" s="337">
        <f t="shared" si="8"/>
        <v>85341.206044444436</v>
      </c>
      <c r="K52" s="409" t="s">
        <v>154</v>
      </c>
    </row>
    <row r="53" spans="2:11" ht="17.399999999999999" x14ac:dyDescent="0.3">
      <c r="B53" s="414"/>
      <c r="C53" s="408" t="s">
        <v>217</v>
      </c>
      <c r="D53" s="307"/>
      <c r="E53" s="307"/>
      <c r="F53" s="310">
        <f>'Gårdens info'!D31</f>
        <v>3</v>
      </c>
      <c r="G53" s="310" t="s">
        <v>0</v>
      </c>
      <c r="H53" s="337">
        <f>IF(F53&gt;0,Havre!F26,0)</f>
        <v>1321.331148148148</v>
      </c>
      <c r="I53" s="310" t="s">
        <v>14</v>
      </c>
      <c r="J53" s="337">
        <f t="shared" si="8"/>
        <v>3963.9934444444443</v>
      </c>
      <c r="K53" s="409" t="s">
        <v>154</v>
      </c>
    </row>
    <row r="54" spans="2:11" ht="17.399999999999999" x14ac:dyDescent="0.3">
      <c r="B54" s="414"/>
      <c r="C54" s="408" t="s">
        <v>218</v>
      </c>
      <c r="D54" s="307"/>
      <c r="E54" s="307"/>
      <c r="F54" s="310">
        <f>'Gårdens info'!D32</f>
        <v>0</v>
      </c>
      <c r="G54" s="310" t="s">
        <v>0</v>
      </c>
      <c r="H54" s="337">
        <f>IF(F54&gt;0,Korn!F26,0)</f>
        <v>0</v>
      </c>
      <c r="I54" s="310" t="s">
        <v>14</v>
      </c>
      <c r="J54" s="337">
        <f t="shared" ref="J54:J55" si="9">F54*H54</f>
        <v>0</v>
      </c>
      <c r="K54" s="409" t="s">
        <v>154</v>
      </c>
    </row>
    <row r="55" spans="2:11" ht="17.399999999999999" x14ac:dyDescent="0.3">
      <c r="B55" s="414"/>
      <c r="C55" s="408" t="s">
        <v>219</v>
      </c>
      <c r="D55" s="307"/>
      <c r="E55" s="307"/>
      <c r="F55" s="310">
        <f>'Gårdens info'!D33</f>
        <v>0</v>
      </c>
      <c r="G55" s="310" t="s">
        <v>0</v>
      </c>
      <c r="H55" s="337">
        <f>IF(F55&gt;0,Vete!F26,0)</f>
        <v>0</v>
      </c>
      <c r="I55" s="310" t="s">
        <v>14</v>
      </c>
      <c r="J55" s="337">
        <f t="shared" si="9"/>
        <v>0</v>
      </c>
      <c r="K55" s="409" t="s">
        <v>154</v>
      </c>
    </row>
    <row r="56" spans="2:11" ht="17.399999999999999" x14ac:dyDescent="0.3">
      <c r="B56" s="414"/>
      <c r="C56" s="408" t="s">
        <v>220</v>
      </c>
      <c r="D56" s="307"/>
      <c r="E56" s="307"/>
      <c r="F56" s="310">
        <f>'Gårdens info'!D34</f>
        <v>0</v>
      </c>
      <c r="G56" s="310" t="s">
        <v>0</v>
      </c>
      <c r="H56" s="337">
        <f>Höstråg!F26</f>
        <v>0</v>
      </c>
      <c r="I56" s="310" t="s">
        <v>14</v>
      </c>
      <c r="J56" s="337">
        <f t="shared" ref="J56" si="10">F56*H56</f>
        <v>0</v>
      </c>
      <c r="K56" s="409" t="s">
        <v>154</v>
      </c>
    </row>
    <row r="57" spans="2:11" ht="17.399999999999999" x14ac:dyDescent="0.3">
      <c r="B57" s="414"/>
      <c r="C57" s="408" t="s">
        <v>223</v>
      </c>
      <c r="D57" s="307"/>
      <c r="E57" s="307"/>
      <c r="F57" s="310">
        <f>'Gårdens info'!D35</f>
        <v>0</v>
      </c>
      <c r="G57" s="310" t="s">
        <v>0</v>
      </c>
      <c r="H57" s="337">
        <f>IF(F57&gt;0,Naturvårdsåker!F22,0)</f>
        <v>0</v>
      </c>
      <c r="I57" s="310" t="s">
        <v>14</v>
      </c>
      <c r="J57" s="337">
        <f t="shared" si="8"/>
        <v>0</v>
      </c>
      <c r="K57" s="409" t="s">
        <v>154</v>
      </c>
    </row>
    <row r="58" spans="2:11" ht="17.399999999999999" x14ac:dyDescent="0.3">
      <c r="B58" s="414"/>
      <c r="C58" s="408" t="s">
        <v>221</v>
      </c>
      <c r="D58" s="307"/>
      <c r="E58" s="307"/>
      <c r="F58" s="310">
        <f>'Gårdens info'!D36</f>
        <v>0</v>
      </c>
      <c r="G58" s="310" t="s">
        <v>0</v>
      </c>
      <c r="H58" s="337">
        <f>Vall!F22</f>
        <v>0</v>
      </c>
      <c r="I58" s="310" t="s">
        <v>14</v>
      </c>
      <c r="J58" s="337">
        <f t="shared" si="8"/>
        <v>0</v>
      </c>
      <c r="K58" s="409" t="s">
        <v>154</v>
      </c>
    </row>
    <row r="59" spans="2:11" s="366" customFormat="1" ht="21" x14ac:dyDescent="0.4">
      <c r="B59" s="932" t="s">
        <v>226</v>
      </c>
      <c r="C59" s="933"/>
      <c r="D59" s="933"/>
      <c r="E59" s="933"/>
      <c r="F59" s="933"/>
      <c r="G59" s="420"/>
      <c r="H59" s="420"/>
      <c r="I59" s="420"/>
      <c r="J59" s="418">
        <f>SUM(J37:J58)</f>
        <v>665707.27490000008</v>
      </c>
      <c r="K59" s="419" t="s">
        <v>154</v>
      </c>
    </row>
    <row r="60" spans="2:11" ht="28.05" customHeight="1" x14ac:dyDescent="0.25">
      <c r="B60" s="414"/>
      <c r="C60" s="307"/>
      <c r="D60" s="307"/>
      <c r="E60" s="307"/>
      <c r="F60" s="307"/>
      <c r="G60" s="307"/>
      <c r="H60" s="307"/>
      <c r="I60" s="307"/>
      <c r="J60" s="307"/>
      <c r="K60" s="405"/>
    </row>
    <row r="61" spans="2:11" s="366" customFormat="1" ht="21" x14ac:dyDescent="0.4">
      <c r="B61" s="319" t="s">
        <v>228</v>
      </c>
      <c r="C61" s="420"/>
      <c r="D61" s="420"/>
      <c r="E61" s="420"/>
      <c r="F61" s="420"/>
      <c r="G61" s="420"/>
      <c r="H61" s="420"/>
      <c r="I61" s="420"/>
      <c r="J61" s="420"/>
      <c r="K61" s="421"/>
    </row>
    <row r="62" spans="2:11" s="366" customFormat="1" ht="21" x14ac:dyDescent="0.4">
      <c r="B62" s="319"/>
      <c r="C62" s="408" t="s">
        <v>202</v>
      </c>
      <c r="D62" s="307"/>
      <c r="E62" s="307"/>
      <c r="F62" s="310">
        <f>F37</f>
        <v>1</v>
      </c>
      <c r="G62" s="310" t="s">
        <v>0</v>
      </c>
      <c r="H62" s="337">
        <f>Morot!F57</f>
        <v>9261.4997266313931</v>
      </c>
      <c r="I62" s="310" t="s">
        <v>14</v>
      </c>
      <c r="J62" s="337">
        <f t="shared" ref="J62:J64" si="11">F62*H62</f>
        <v>9261.4997266313931</v>
      </c>
      <c r="K62" s="409" t="s">
        <v>154</v>
      </c>
    </row>
    <row r="63" spans="2:11" s="366" customFormat="1" ht="21" x14ac:dyDescent="0.4">
      <c r="B63" s="319"/>
      <c r="C63" s="408" t="s">
        <v>203</v>
      </c>
      <c r="D63" s="307"/>
      <c r="E63" s="307"/>
      <c r="F63" s="310">
        <f>F38</f>
        <v>1</v>
      </c>
      <c r="G63" s="310" t="s">
        <v>0</v>
      </c>
      <c r="H63" s="337">
        <f>Kål!F57</f>
        <v>4314.833059964727</v>
      </c>
      <c r="I63" s="310" t="s">
        <v>14</v>
      </c>
      <c r="J63" s="337">
        <f t="shared" si="11"/>
        <v>4314.833059964727</v>
      </c>
      <c r="K63" s="409" t="s">
        <v>154</v>
      </c>
    </row>
    <row r="64" spans="2:11" s="366" customFormat="1" ht="21" x14ac:dyDescent="0.4">
      <c r="B64" s="319"/>
      <c r="C64" s="408" t="s">
        <v>204</v>
      </c>
      <c r="D64" s="307"/>
      <c r="E64" s="307"/>
      <c r="F64" s="310">
        <f>F39</f>
        <v>1</v>
      </c>
      <c r="G64" s="310" t="s">
        <v>0</v>
      </c>
      <c r="H64" s="337">
        <f>Lök!F57</f>
        <v>8643.1663932980609</v>
      </c>
      <c r="I64" s="310" t="s">
        <v>14</v>
      </c>
      <c r="J64" s="337">
        <f t="shared" si="11"/>
        <v>8643.1663932980609</v>
      </c>
      <c r="K64" s="409" t="s">
        <v>154</v>
      </c>
    </row>
    <row r="65" spans="2:11" s="366" customFormat="1" ht="21" x14ac:dyDescent="0.4">
      <c r="B65" s="319"/>
      <c r="C65" s="408" t="s">
        <v>205</v>
      </c>
      <c r="D65" s="307"/>
      <c r="E65" s="307"/>
      <c r="F65" s="310">
        <f>F40</f>
        <v>1</v>
      </c>
      <c r="G65" s="310" t="s">
        <v>0</v>
      </c>
      <c r="H65" s="337">
        <f>Trädgårdsärt!F57</f>
        <v>9261.4997266313931</v>
      </c>
      <c r="I65" s="310" t="s">
        <v>14</v>
      </c>
      <c r="J65" s="337">
        <f t="shared" ref="J65" si="12">F65*H65</f>
        <v>9261.4997266313931</v>
      </c>
      <c r="K65" s="409" t="s">
        <v>154</v>
      </c>
    </row>
    <row r="66" spans="2:11" s="366" customFormat="1" ht="21" x14ac:dyDescent="0.4">
      <c r="B66" s="319"/>
      <c r="C66" s="408" t="s">
        <v>206</v>
      </c>
      <c r="D66" s="307"/>
      <c r="E66" s="307"/>
      <c r="F66" s="310">
        <f t="shared" ref="F66:F70" si="13">F41</f>
        <v>0</v>
      </c>
      <c r="G66" s="310" t="s">
        <v>0</v>
      </c>
      <c r="H66" s="337">
        <f>'Grönsak från frö 1'!F57</f>
        <v>0</v>
      </c>
      <c r="I66" s="310" t="s">
        <v>14</v>
      </c>
      <c r="J66" s="337">
        <f t="shared" ref="J66:J70" si="14">F66*H66</f>
        <v>0</v>
      </c>
      <c r="K66" s="409" t="s">
        <v>154</v>
      </c>
    </row>
    <row r="67" spans="2:11" s="366" customFormat="1" ht="21" x14ac:dyDescent="0.4">
      <c r="B67" s="319"/>
      <c r="C67" s="408" t="s">
        <v>207</v>
      </c>
      <c r="D67" s="307"/>
      <c r="E67" s="307"/>
      <c r="F67" s="310">
        <f t="shared" si="13"/>
        <v>0</v>
      </c>
      <c r="G67" s="310" t="s">
        <v>0</v>
      </c>
      <c r="H67" s="337">
        <f>'Grönsak från frö 2'!F57</f>
        <v>0</v>
      </c>
      <c r="I67" s="310" t="s">
        <v>14</v>
      </c>
      <c r="J67" s="337">
        <f t="shared" si="14"/>
        <v>0</v>
      </c>
      <c r="K67" s="409" t="s">
        <v>154</v>
      </c>
    </row>
    <row r="68" spans="2:11" s="366" customFormat="1" ht="21" x14ac:dyDescent="0.4">
      <c r="B68" s="319"/>
      <c r="C68" s="408" t="s">
        <v>208</v>
      </c>
      <c r="D68" s="307"/>
      <c r="E68" s="307"/>
      <c r="F68" s="310">
        <f t="shared" si="13"/>
        <v>0</v>
      </c>
      <c r="G68" s="310" t="s">
        <v>0</v>
      </c>
      <c r="H68" s="337">
        <f>'Planterad grönsak 1'!F57</f>
        <v>0</v>
      </c>
      <c r="I68" s="310" t="s">
        <v>14</v>
      </c>
      <c r="J68" s="337">
        <f t="shared" si="14"/>
        <v>0</v>
      </c>
      <c r="K68" s="409" t="s">
        <v>154</v>
      </c>
    </row>
    <row r="69" spans="2:11" s="366" customFormat="1" ht="21" x14ac:dyDescent="0.4">
      <c r="B69" s="319"/>
      <c r="C69" s="408" t="s">
        <v>209</v>
      </c>
      <c r="D69" s="307"/>
      <c r="E69" s="307"/>
      <c r="F69" s="310">
        <f t="shared" si="13"/>
        <v>0</v>
      </c>
      <c r="G69" s="310" t="s">
        <v>0</v>
      </c>
      <c r="H69" s="337">
        <f>'Planterad grönsak 2'!F57</f>
        <v>0</v>
      </c>
      <c r="I69" s="310" t="s">
        <v>14</v>
      </c>
      <c r="J69" s="337">
        <f t="shared" si="14"/>
        <v>0</v>
      </c>
      <c r="K69" s="409" t="s">
        <v>154</v>
      </c>
    </row>
    <row r="70" spans="2:11" s="366" customFormat="1" ht="21" x14ac:dyDescent="0.4">
      <c r="B70" s="319"/>
      <c r="C70" s="408" t="s">
        <v>210</v>
      </c>
      <c r="D70" s="307"/>
      <c r="E70" s="307"/>
      <c r="F70" s="310">
        <f t="shared" si="13"/>
        <v>0</v>
      </c>
      <c r="G70" s="310" t="s">
        <v>0</v>
      </c>
      <c r="H70" s="337">
        <f>'Planterad grönsak 3'!F57</f>
        <v>0</v>
      </c>
      <c r="I70" s="310" t="s">
        <v>14</v>
      </c>
      <c r="J70" s="337">
        <f t="shared" si="14"/>
        <v>0</v>
      </c>
      <c r="K70" s="409" t="s">
        <v>154</v>
      </c>
    </row>
    <row r="71" spans="2:11" ht="17.399999999999999" x14ac:dyDescent="0.3">
      <c r="B71" s="414"/>
      <c r="C71" s="408" t="s">
        <v>211</v>
      </c>
      <c r="D71" s="307"/>
      <c r="E71" s="307"/>
      <c r="F71" s="310">
        <f t="shared" ref="F71:F83" si="15">F46</f>
        <v>5</v>
      </c>
      <c r="G71" s="310" t="s">
        <v>0</v>
      </c>
      <c r="H71" s="337">
        <f>IF(F71&gt;0,'Jordgubbe friland'!F73,0)</f>
        <v>1469.0865932980596</v>
      </c>
      <c r="I71" s="310" t="s">
        <v>14</v>
      </c>
      <c r="J71" s="337">
        <f>F71*H71</f>
        <v>7345.432966490298</v>
      </c>
      <c r="K71" s="409" t="s">
        <v>154</v>
      </c>
    </row>
    <row r="72" spans="2:11" ht="17.399999999999999" x14ac:dyDescent="0.3">
      <c r="B72" s="414"/>
      <c r="C72" s="408" t="s">
        <v>212</v>
      </c>
      <c r="D72" s="307"/>
      <c r="E72" s="307"/>
      <c r="F72" s="310">
        <f t="shared" si="15"/>
        <v>1</v>
      </c>
      <c r="G72" s="310" t="s">
        <v>0</v>
      </c>
      <c r="H72" s="337">
        <f>'Jordgubbe tunnel'!F58</f>
        <v>7345.4329664902998</v>
      </c>
      <c r="I72" s="310" t="s">
        <v>14</v>
      </c>
      <c r="J72" s="337">
        <f t="shared" ref="J72:J83" si="16">F72*H72</f>
        <v>7345.4329664902998</v>
      </c>
      <c r="K72" s="409" t="s">
        <v>154</v>
      </c>
    </row>
    <row r="73" spans="2:11" ht="17.399999999999999" x14ac:dyDescent="0.3">
      <c r="B73" s="414"/>
      <c r="C73" s="408" t="s">
        <v>213</v>
      </c>
      <c r="D73" s="307"/>
      <c r="E73" s="307"/>
      <c r="F73" s="310">
        <f t="shared" si="15"/>
        <v>4</v>
      </c>
      <c r="G73" s="310" t="s">
        <v>0</v>
      </c>
      <c r="H73" s="337">
        <f>'Hallon friland'!F72</f>
        <v>1591.9451552028218</v>
      </c>
      <c r="I73" s="310" t="s">
        <v>14</v>
      </c>
      <c r="J73" s="337">
        <f t="shared" si="16"/>
        <v>6367.780620811287</v>
      </c>
      <c r="K73" s="409" t="s">
        <v>154</v>
      </c>
    </row>
    <row r="74" spans="2:11" ht="17.399999999999999" x14ac:dyDescent="0.3">
      <c r="B74" s="414"/>
      <c r="C74" s="408" t="s">
        <v>214</v>
      </c>
      <c r="D74" s="307"/>
      <c r="E74" s="307"/>
      <c r="F74" s="310">
        <f t="shared" si="15"/>
        <v>1</v>
      </c>
      <c r="G74" s="310" t="s">
        <v>0</v>
      </c>
      <c r="H74" s="337">
        <f>'Hallon tunnel'!F57</f>
        <v>1591.9451552028218</v>
      </c>
      <c r="I74" s="310" t="s">
        <v>14</v>
      </c>
      <c r="J74" s="337">
        <f t="shared" si="16"/>
        <v>1591.9451552028218</v>
      </c>
      <c r="K74" s="409" t="s">
        <v>154</v>
      </c>
    </row>
    <row r="75" spans="2:11" ht="17.399999999999999" x14ac:dyDescent="0.3">
      <c r="B75" s="414"/>
      <c r="C75" s="408" t="s">
        <v>215</v>
      </c>
      <c r="D75" s="307"/>
      <c r="E75" s="307"/>
      <c r="F75" s="310">
        <f t="shared" si="15"/>
        <v>5</v>
      </c>
      <c r="G75" s="310" t="s">
        <v>0</v>
      </c>
      <c r="H75" s="337">
        <f>IF(F75&gt;0,'Svarta vinbär'!F81,0)</f>
        <v>1223.1663932980598</v>
      </c>
      <c r="I75" s="310" t="s">
        <v>14</v>
      </c>
      <c r="J75" s="337">
        <f t="shared" si="16"/>
        <v>6115.8319664902992</v>
      </c>
      <c r="K75" s="409" t="s">
        <v>154</v>
      </c>
    </row>
    <row r="76" spans="2:11" ht="17.399999999999999" x14ac:dyDescent="0.3">
      <c r="B76" s="414"/>
      <c r="C76" s="408" t="s">
        <v>216</v>
      </c>
      <c r="D76" s="307"/>
      <c r="E76" s="307"/>
      <c r="F76" s="310">
        <f t="shared" si="15"/>
        <v>1</v>
      </c>
      <c r="G76" s="310" t="s">
        <v>0</v>
      </c>
      <c r="H76" s="337">
        <f>IF(F76&gt;0,Buskblåbär!F84,0)</f>
        <v>1428.4451552028218</v>
      </c>
      <c r="I76" s="310" t="s">
        <v>14</v>
      </c>
      <c r="J76" s="337">
        <f t="shared" si="16"/>
        <v>1428.4451552028218</v>
      </c>
      <c r="K76" s="409" t="s">
        <v>154</v>
      </c>
    </row>
    <row r="77" spans="2:11" ht="17.399999999999999" x14ac:dyDescent="0.3">
      <c r="B77" s="414"/>
      <c r="C77" s="408" t="s">
        <v>198</v>
      </c>
      <c r="D77" s="307"/>
      <c r="E77" s="307"/>
      <c r="F77" s="310">
        <f t="shared" si="15"/>
        <v>3</v>
      </c>
      <c r="G77" s="310" t="s">
        <v>0</v>
      </c>
      <c r="H77" s="337">
        <f>Äpple!F84</f>
        <v>1160.8806790123456</v>
      </c>
      <c r="I77" s="310" t="s">
        <v>14</v>
      </c>
      <c r="J77" s="337">
        <f t="shared" si="16"/>
        <v>3482.642037037037</v>
      </c>
      <c r="K77" s="409" t="s">
        <v>154</v>
      </c>
    </row>
    <row r="78" spans="2:11" ht="17.399999999999999" x14ac:dyDescent="0.3">
      <c r="B78" s="414"/>
      <c r="C78" s="408" t="s">
        <v>217</v>
      </c>
      <c r="D78" s="307"/>
      <c r="E78" s="307"/>
      <c r="F78" s="310">
        <f t="shared" si="15"/>
        <v>3</v>
      </c>
      <c r="G78" s="310" t="s">
        <v>0</v>
      </c>
      <c r="H78" s="337">
        <f>IF(F78&gt;0,Havre!F55,0)</f>
        <v>593.71234567901229</v>
      </c>
      <c r="I78" s="310" t="s">
        <v>14</v>
      </c>
      <c r="J78" s="337">
        <f t="shared" si="16"/>
        <v>1781.1370370370369</v>
      </c>
      <c r="K78" s="409" t="s">
        <v>154</v>
      </c>
    </row>
    <row r="79" spans="2:11" ht="17.399999999999999" x14ac:dyDescent="0.3">
      <c r="B79" s="414"/>
      <c r="C79" s="408" t="s">
        <v>218</v>
      </c>
      <c r="D79" s="307"/>
      <c r="E79" s="307"/>
      <c r="F79" s="310">
        <f t="shared" si="15"/>
        <v>0</v>
      </c>
      <c r="G79" s="310" t="s">
        <v>0</v>
      </c>
      <c r="H79" s="337">
        <f>IF(F79&gt;0,Korn!F55,0)</f>
        <v>0</v>
      </c>
      <c r="I79" s="310" t="s">
        <v>14</v>
      </c>
      <c r="J79" s="337">
        <f t="shared" ref="J79:J80" si="17">F79*H79</f>
        <v>0</v>
      </c>
      <c r="K79" s="409" t="s">
        <v>154</v>
      </c>
    </row>
    <row r="80" spans="2:11" ht="17.399999999999999" x14ac:dyDescent="0.3">
      <c r="B80" s="414"/>
      <c r="C80" s="408" t="s">
        <v>219</v>
      </c>
      <c r="D80" s="307"/>
      <c r="E80" s="307"/>
      <c r="F80" s="310">
        <f t="shared" si="15"/>
        <v>0</v>
      </c>
      <c r="G80" s="310" t="s">
        <v>0</v>
      </c>
      <c r="H80" s="337">
        <f>IF(F80&gt;0,Vete!F55,0)</f>
        <v>0</v>
      </c>
      <c r="I80" s="310" t="s">
        <v>14</v>
      </c>
      <c r="J80" s="337">
        <f t="shared" si="17"/>
        <v>0</v>
      </c>
      <c r="K80" s="409" t="s">
        <v>154</v>
      </c>
    </row>
    <row r="81" spans="2:11" ht="17.399999999999999" x14ac:dyDescent="0.3">
      <c r="B81" s="414"/>
      <c r="C81" s="408" t="s">
        <v>220</v>
      </c>
      <c r="D81" s="307"/>
      <c r="E81" s="307"/>
      <c r="F81" s="310">
        <f t="shared" si="15"/>
        <v>0</v>
      </c>
      <c r="G81" s="310" t="s">
        <v>0</v>
      </c>
      <c r="H81" s="337">
        <f>Höstråg!F55</f>
        <v>0</v>
      </c>
      <c r="I81" s="310" t="s">
        <v>14</v>
      </c>
      <c r="J81" s="337">
        <f t="shared" ref="J81" si="18">F81*H81</f>
        <v>0</v>
      </c>
      <c r="K81" s="409" t="s">
        <v>154</v>
      </c>
    </row>
    <row r="82" spans="2:11" ht="17.399999999999999" x14ac:dyDescent="0.3">
      <c r="B82" s="414"/>
      <c r="C82" s="408" t="s">
        <v>223</v>
      </c>
      <c r="D82" s="307"/>
      <c r="E82" s="307"/>
      <c r="F82" s="310">
        <f t="shared" si="15"/>
        <v>0</v>
      </c>
      <c r="G82" s="310" t="s">
        <v>0</v>
      </c>
      <c r="H82" s="337">
        <f>IF(F82&gt;0,Naturvårdsåker!F55,0)</f>
        <v>0</v>
      </c>
      <c r="I82" s="310" t="s">
        <v>14</v>
      </c>
      <c r="J82" s="337">
        <f t="shared" si="16"/>
        <v>0</v>
      </c>
      <c r="K82" s="409" t="s">
        <v>154</v>
      </c>
    </row>
    <row r="83" spans="2:11" ht="18" thickBot="1" x14ac:dyDescent="0.35">
      <c r="B83" s="414"/>
      <c r="C83" s="408" t="s">
        <v>221</v>
      </c>
      <c r="D83" s="307"/>
      <c r="E83" s="307"/>
      <c r="F83" s="310">
        <f t="shared" si="15"/>
        <v>0</v>
      </c>
      <c r="G83" s="310" t="s">
        <v>0</v>
      </c>
      <c r="H83" s="337">
        <f>Vall!F55</f>
        <v>0</v>
      </c>
      <c r="I83" s="310" t="s">
        <v>14</v>
      </c>
      <c r="J83" s="337">
        <f t="shared" si="16"/>
        <v>0</v>
      </c>
      <c r="K83" s="842" t="s">
        <v>154</v>
      </c>
    </row>
    <row r="84" spans="2:11" s="366" customFormat="1" ht="21.6" thickBot="1" x14ac:dyDescent="0.45">
      <c r="B84" s="932" t="s">
        <v>229</v>
      </c>
      <c r="C84" s="933"/>
      <c r="D84" s="933"/>
      <c r="E84" s="933"/>
      <c r="F84" s="933"/>
      <c r="G84" s="420"/>
      <c r="H84" s="420"/>
      <c r="I84" s="420"/>
      <c r="J84" s="418">
        <f>SUM(J62:J83)</f>
        <v>66939.646811287472</v>
      </c>
      <c r="K84" s="424" t="s">
        <v>154</v>
      </c>
    </row>
    <row r="85" spans="2:11" ht="34.950000000000003" customHeight="1" x14ac:dyDescent="0.25">
      <c r="B85" s="414"/>
      <c r="C85" s="307"/>
      <c r="D85" s="307"/>
      <c r="E85" s="307"/>
      <c r="F85" s="307"/>
      <c r="G85" s="307"/>
      <c r="H85" s="307"/>
      <c r="I85" s="307"/>
      <c r="J85" s="307"/>
      <c r="K85" s="405"/>
    </row>
    <row r="86" spans="2:11" s="366" customFormat="1" ht="21" x14ac:dyDescent="0.4">
      <c r="B86" s="319" t="s">
        <v>230</v>
      </c>
      <c r="C86" s="420"/>
      <c r="D86" s="420"/>
      <c r="E86" s="420"/>
      <c r="F86" s="420"/>
      <c r="G86" s="420"/>
      <c r="H86" s="420"/>
      <c r="I86" s="420"/>
      <c r="J86" s="420"/>
      <c r="K86" s="421"/>
    </row>
    <row r="87" spans="2:11" s="366" customFormat="1" ht="21" x14ac:dyDescent="0.4">
      <c r="B87" s="319"/>
      <c r="C87" s="408" t="s">
        <v>202</v>
      </c>
      <c r="D87" s="307"/>
      <c r="E87" s="307"/>
      <c r="F87" s="310">
        <f>F62</f>
        <v>1</v>
      </c>
      <c r="G87" s="310" t="s">
        <v>0</v>
      </c>
      <c r="H87" s="337">
        <f>Morot!F62</f>
        <v>2160.5</v>
      </c>
      <c r="I87" s="310" t="s">
        <v>14</v>
      </c>
      <c r="J87" s="337">
        <f t="shared" ref="J87:J89" si="19">F87*H87</f>
        <v>2160.5</v>
      </c>
      <c r="K87" s="409" t="s">
        <v>154</v>
      </c>
    </row>
    <row r="88" spans="2:11" s="366" customFormat="1" ht="21" x14ac:dyDescent="0.4">
      <c r="B88" s="319"/>
      <c r="C88" s="408" t="s">
        <v>203</v>
      </c>
      <c r="D88" s="307"/>
      <c r="E88" s="307"/>
      <c r="F88" s="310">
        <f>F63</f>
        <v>1</v>
      </c>
      <c r="G88" s="310" t="s">
        <v>0</v>
      </c>
      <c r="H88" s="337">
        <f>Kål!F62</f>
        <v>2088</v>
      </c>
      <c r="I88" s="310" t="s">
        <v>14</v>
      </c>
      <c r="J88" s="337">
        <f t="shared" si="19"/>
        <v>2088</v>
      </c>
      <c r="K88" s="409" t="s">
        <v>154</v>
      </c>
    </row>
    <row r="89" spans="2:11" s="366" customFormat="1" ht="21" x14ac:dyDescent="0.4">
      <c r="B89" s="319"/>
      <c r="C89" s="408" t="s">
        <v>204</v>
      </c>
      <c r="D89" s="307"/>
      <c r="E89" s="307"/>
      <c r="F89" s="310">
        <f>F64</f>
        <v>1</v>
      </c>
      <c r="G89" s="310" t="s">
        <v>0</v>
      </c>
      <c r="H89" s="337">
        <f>Lök!F62</f>
        <v>1406.5</v>
      </c>
      <c r="I89" s="310" t="s">
        <v>14</v>
      </c>
      <c r="J89" s="337">
        <f t="shared" si="19"/>
        <v>1406.5</v>
      </c>
      <c r="K89" s="409" t="s">
        <v>154</v>
      </c>
    </row>
    <row r="90" spans="2:11" s="366" customFormat="1" ht="21" x14ac:dyDescent="0.4">
      <c r="B90" s="319"/>
      <c r="C90" s="408" t="s">
        <v>205</v>
      </c>
      <c r="D90" s="307"/>
      <c r="E90" s="307"/>
      <c r="F90" s="310">
        <f>F65</f>
        <v>1</v>
      </c>
      <c r="G90" s="310" t="s">
        <v>0</v>
      </c>
      <c r="H90" s="337">
        <f>Trädgårdsärt!F60</f>
        <v>1261.5</v>
      </c>
      <c r="I90" s="310" t="s">
        <v>14</v>
      </c>
      <c r="J90" s="337">
        <f t="shared" ref="J90" si="20">F90*H90</f>
        <v>1261.5</v>
      </c>
      <c r="K90" s="409" t="s">
        <v>154</v>
      </c>
    </row>
    <row r="91" spans="2:11" s="366" customFormat="1" ht="21" x14ac:dyDescent="0.4">
      <c r="B91" s="319"/>
      <c r="C91" s="408" t="s">
        <v>206</v>
      </c>
      <c r="D91" s="307"/>
      <c r="E91" s="307"/>
      <c r="F91" s="310">
        <f t="shared" ref="F91:F95" si="21">F66</f>
        <v>0</v>
      </c>
      <c r="G91" s="310" t="s">
        <v>0</v>
      </c>
      <c r="H91" s="337">
        <f>'Grönsak från frö 1'!F62</f>
        <v>0</v>
      </c>
      <c r="I91" s="310" t="s">
        <v>14</v>
      </c>
      <c r="J91" s="337">
        <f t="shared" ref="J91:J95" si="22">F91*H91</f>
        <v>0</v>
      </c>
      <c r="K91" s="409" t="s">
        <v>154</v>
      </c>
    </row>
    <row r="92" spans="2:11" s="366" customFormat="1" ht="21" x14ac:dyDescent="0.4">
      <c r="B92" s="319"/>
      <c r="C92" s="408" t="s">
        <v>207</v>
      </c>
      <c r="D92" s="307"/>
      <c r="E92" s="307"/>
      <c r="F92" s="310">
        <f t="shared" si="21"/>
        <v>0</v>
      </c>
      <c r="G92" s="310" t="s">
        <v>0</v>
      </c>
      <c r="H92" s="337">
        <f>'Grönsak från frö 2'!F62</f>
        <v>0</v>
      </c>
      <c r="I92" s="310" t="s">
        <v>14</v>
      </c>
      <c r="J92" s="337">
        <f t="shared" si="22"/>
        <v>0</v>
      </c>
      <c r="K92" s="409" t="s">
        <v>154</v>
      </c>
    </row>
    <row r="93" spans="2:11" s="366" customFormat="1" ht="21" x14ac:dyDescent="0.4">
      <c r="B93" s="319"/>
      <c r="C93" s="408" t="s">
        <v>208</v>
      </c>
      <c r="D93" s="307"/>
      <c r="E93" s="307"/>
      <c r="F93" s="310">
        <f t="shared" si="21"/>
        <v>0</v>
      </c>
      <c r="G93" s="310" t="s">
        <v>0</v>
      </c>
      <c r="H93" s="337">
        <f>'Planterad grönsak 1'!F62</f>
        <v>0</v>
      </c>
      <c r="I93" s="310" t="s">
        <v>14</v>
      </c>
      <c r="J93" s="337">
        <f t="shared" si="22"/>
        <v>0</v>
      </c>
      <c r="K93" s="409" t="s">
        <v>154</v>
      </c>
    </row>
    <row r="94" spans="2:11" s="366" customFormat="1" ht="21" x14ac:dyDescent="0.4">
      <c r="B94" s="319"/>
      <c r="C94" s="408" t="s">
        <v>209</v>
      </c>
      <c r="D94" s="307"/>
      <c r="E94" s="307"/>
      <c r="F94" s="310">
        <f t="shared" si="21"/>
        <v>0</v>
      </c>
      <c r="G94" s="310" t="s">
        <v>0</v>
      </c>
      <c r="H94" s="337">
        <f>'Planterad grönsak 2'!F62</f>
        <v>0</v>
      </c>
      <c r="I94" s="310" t="s">
        <v>14</v>
      </c>
      <c r="J94" s="337">
        <f t="shared" si="22"/>
        <v>0</v>
      </c>
      <c r="K94" s="409" t="s">
        <v>154</v>
      </c>
    </row>
    <row r="95" spans="2:11" s="366" customFormat="1" ht="21" x14ac:dyDescent="0.4">
      <c r="B95" s="319"/>
      <c r="C95" s="408" t="s">
        <v>210</v>
      </c>
      <c r="D95" s="307"/>
      <c r="E95" s="307"/>
      <c r="F95" s="310">
        <f t="shared" si="21"/>
        <v>0</v>
      </c>
      <c r="G95" s="310" t="s">
        <v>0</v>
      </c>
      <c r="H95" s="337">
        <f>'Planterad grönsak 3'!F62</f>
        <v>0</v>
      </c>
      <c r="I95" s="310" t="s">
        <v>14</v>
      </c>
      <c r="J95" s="337">
        <f t="shared" si="22"/>
        <v>0</v>
      </c>
      <c r="K95" s="409" t="s">
        <v>154</v>
      </c>
    </row>
    <row r="96" spans="2:11" ht="17.399999999999999" x14ac:dyDescent="0.3">
      <c r="B96" s="414"/>
      <c r="C96" s="408" t="s">
        <v>211</v>
      </c>
      <c r="D96" s="307"/>
      <c r="E96" s="307"/>
      <c r="F96" s="310">
        <f t="shared" ref="F96:F108" si="23">F71</f>
        <v>5</v>
      </c>
      <c r="G96" s="310" t="s">
        <v>0</v>
      </c>
      <c r="H96" s="337">
        <f>IF(F96&gt;0,'Jordgubbe friland'!F84,0)</f>
        <v>3361.583333333333</v>
      </c>
      <c r="I96" s="310" t="s">
        <v>14</v>
      </c>
      <c r="J96" s="337">
        <f>F96*H96</f>
        <v>16807.916666666664</v>
      </c>
      <c r="K96" s="409" t="s">
        <v>154</v>
      </c>
    </row>
    <row r="97" spans="2:11" ht="17.399999999999999" x14ac:dyDescent="0.3">
      <c r="B97" s="414"/>
      <c r="C97" s="408" t="s">
        <v>212</v>
      </c>
      <c r="D97" s="307"/>
      <c r="E97" s="307"/>
      <c r="F97" s="310">
        <f t="shared" si="23"/>
        <v>1</v>
      </c>
      <c r="G97" s="310" t="s">
        <v>0</v>
      </c>
      <c r="H97" s="337">
        <f>'Jordgubbe tunnel'!F62</f>
        <v>3770</v>
      </c>
      <c r="I97" s="310" t="s">
        <v>14</v>
      </c>
      <c r="J97" s="337">
        <f t="shared" ref="J97:J108" si="24">F97*H97</f>
        <v>3770</v>
      </c>
      <c r="K97" s="409" t="s">
        <v>154</v>
      </c>
    </row>
    <row r="98" spans="2:11" ht="17.399999999999999" x14ac:dyDescent="0.3">
      <c r="B98" s="414"/>
      <c r="C98" s="408" t="s">
        <v>213</v>
      </c>
      <c r="D98" s="307"/>
      <c r="E98" s="307"/>
      <c r="F98" s="310">
        <f t="shared" si="23"/>
        <v>4</v>
      </c>
      <c r="G98" s="310" t="s">
        <v>0</v>
      </c>
      <c r="H98" s="337">
        <f>'Hallon friland'!F83</f>
        <v>2177.71875</v>
      </c>
      <c r="I98" s="310" t="s">
        <v>14</v>
      </c>
      <c r="J98" s="337">
        <f t="shared" si="24"/>
        <v>8710.875</v>
      </c>
      <c r="K98" s="409" t="s">
        <v>154</v>
      </c>
    </row>
    <row r="99" spans="2:11" ht="17.399999999999999" x14ac:dyDescent="0.3">
      <c r="B99" s="414"/>
      <c r="C99" s="408" t="s">
        <v>214</v>
      </c>
      <c r="D99" s="307"/>
      <c r="E99" s="307"/>
      <c r="F99" s="310">
        <f t="shared" si="23"/>
        <v>1</v>
      </c>
      <c r="G99" s="310" t="s">
        <v>0</v>
      </c>
      <c r="H99" s="337">
        <f>'Hallon tunnel'!F63</f>
        <v>2552</v>
      </c>
      <c r="I99" s="310" t="s">
        <v>14</v>
      </c>
      <c r="J99" s="337">
        <f t="shared" si="24"/>
        <v>2552</v>
      </c>
      <c r="K99" s="409" t="s">
        <v>154</v>
      </c>
    </row>
    <row r="100" spans="2:11" ht="17.399999999999999" x14ac:dyDescent="0.3">
      <c r="B100" s="414"/>
      <c r="C100" s="408" t="s">
        <v>215</v>
      </c>
      <c r="D100" s="307"/>
      <c r="E100" s="307"/>
      <c r="F100" s="310">
        <f t="shared" si="23"/>
        <v>5</v>
      </c>
      <c r="G100" s="310" t="s">
        <v>0</v>
      </c>
      <c r="H100" s="337">
        <f>IF(F100&gt;0,'Svarta vinbär'!F83,0)</f>
        <v>0</v>
      </c>
      <c r="I100" s="310" t="s">
        <v>14</v>
      </c>
      <c r="J100" s="337">
        <f t="shared" si="24"/>
        <v>0</v>
      </c>
      <c r="K100" s="409" t="s">
        <v>154</v>
      </c>
    </row>
    <row r="101" spans="2:11" ht="17.399999999999999" x14ac:dyDescent="0.3">
      <c r="B101" s="414"/>
      <c r="C101" s="408" t="s">
        <v>216</v>
      </c>
      <c r="D101" s="307"/>
      <c r="E101" s="307"/>
      <c r="F101" s="310">
        <f t="shared" si="23"/>
        <v>1</v>
      </c>
      <c r="G101" s="310" t="s">
        <v>0</v>
      </c>
      <c r="H101" s="337">
        <f>IF(F101&gt;0,Buskblåbär!F98,0)</f>
        <v>2098.875</v>
      </c>
      <c r="I101" s="310" t="s">
        <v>14</v>
      </c>
      <c r="J101" s="337">
        <f t="shared" si="24"/>
        <v>2098.875</v>
      </c>
      <c r="K101" s="409" t="s">
        <v>154</v>
      </c>
    </row>
    <row r="102" spans="2:11" ht="17.399999999999999" x14ac:dyDescent="0.3">
      <c r="B102" s="414"/>
      <c r="C102" s="408" t="s">
        <v>198</v>
      </c>
      <c r="D102" s="307"/>
      <c r="E102" s="307"/>
      <c r="F102" s="310">
        <f t="shared" si="23"/>
        <v>3</v>
      </c>
      <c r="G102" s="310" t="s">
        <v>0</v>
      </c>
      <c r="H102" s="337">
        <f>Äpple!F98</f>
        <v>2763.2166666666667</v>
      </c>
      <c r="I102" s="310" t="s">
        <v>14</v>
      </c>
      <c r="J102" s="337">
        <f t="shared" si="24"/>
        <v>8289.65</v>
      </c>
      <c r="K102" s="409" t="s">
        <v>154</v>
      </c>
    </row>
    <row r="103" spans="2:11" ht="17.399999999999999" x14ac:dyDescent="0.3">
      <c r="B103" s="414"/>
      <c r="C103" s="408" t="s">
        <v>217</v>
      </c>
      <c r="D103" s="307"/>
      <c r="E103" s="307"/>
      <c r="F103" s="310">
        <f t="shared" si="23"/>
        <v>3</v>
      </c>
      <c r="G103" s="310" t="s">
        <v>0</v>
      </c>
      <c r="H103" s="337">
        <f>IF(F103&gt;0,Havre!F58,0)</f>
        <v>130.5</v>
      </c>
      <c r="I103" s="310" t="s">
        <v>14</v>
      </c>
      <c r="J103" s="337">
        <f t="shared" si="24"/>
        <v>391.5</v>
      </c>
      <c r="K103" s="409" t="s">
        <v>154</v>
      </c>
    </row>
    <row r="104" spans="2:11" ht="17.399999999999999" x14ac:dyDescent="0.3">
      <c r="B104" s="414"/>
      <c r="C104" s="408" t="s">
        <v>218</v>
      </c>
      <c r="D104" s="307"/>
      <c r="E104" s="307"/>
      <c r="F104" s="310">
        <f t="shared" si="23"/>
        <v>0</v>
      </c>
      <c r="G104" s="310" t="s">
        <v>0</v>
      </c>
      <c r="H104" s="337">
        <f>IF(F104&gt;0,Korn!F58,0)</f>
        <v>0</v>
      </c>
      <c r="I104" s="310" t="s">
        <v>14</v>
      </c>
      <c r="J104" s="337">
        <f t="shared" ref="J104:J105" si="25">F104*H104</f>
        <v>0</v>
      </c>
      <c r="K104" s="409" t="s">
        <v>154</v>
      </c>
    </row>
    <row r="105" spans="2:11" ht="17.399999999999999" x14ac:dyDescent="0.3">
      <c r="B105" s="414"/>
      <c r="C105" s="408" t="s">
        <v>219</v>
      </c>
      <c r="D105" s="307"/>
      <c r="E105" s="307"/>
      <c r="F105" s="310">
        <f t="shared" si="23"/>
        <v>0</v>
      </c>
      <c r="G105" s="310" t="s">
        <v>0</v>
      </c>
      <c r="H105" s="337">
        <f>IF(F105&gt;0,Vete!F58,0)</f>
        <v>0</v>
      </c>
      <c r="I105" s="310" t="s">
        <v>14</v>
      </c>
      <c r="J105" s="337">
        <f t="shared" si="25"/>
        <v>0</v>
      </c>
      <c r="K105" s="409" t="s">
        <v>154</v>
      </c>
    </row>
    <row r="106" spans="2:11" ht="17.399999999999999" x14ac:dyDescent="0.3">
      <c r="B106" s="414"/>
      <c r="C106" s="408" t="s">
        <v>220</v>
      </c>
      <c r="D106" s="307"/>
      <c r="E106" s="307"/>
      <c r="F106" s="310">
        <f t="shared" si="23"/>
        <v>0</v>
      </c>
      <c r="G106" s="310" t="s">
        <v>0</v>
      </c>
      <c r="H106" s="337">
        <f>Höstråg!F58</f>
        <v>0</v>
      </c>
      <c r="I106" s="310" t="s">
        <v>14</v>
      </c>
      <c r="J106" s="337">
        <f t="shared" ref="J106" si="26">F106*H106</f>
        <v>0</v>
      </c>
      <c r="K106" s="409" t="s">
        <v>154</v>
      </c>
    </row>
    <row r="107" spans="2:11" ht="17.399999999999999" x14ac:dyDescent="0.3">
      <c r="B107" s="414"/>
      <c r="C107" s="408" t="s">
        <v>223</v>
      </c>
      <c r="D107" s="307"/>
      <c r="E107" s="307"/>
      <c r="F107" s="310">
        <f t="shared" si="23"/>
        <v>0</v>
      </c>
      <c r="G107" s="310" t="s">
        <v>0</v>
      </c>
      <c r="H107" s="337">
        <f>IF(F107&gt;0,Naturvårdsåker!F58,0)</f>
        <v>0</v>
      </c>
      <c r="I107" s="310" t="s">
        <v>14</v>
      </c>
      <c r="J107" s="337">
        <f t="shared" si="24"/>
        <v>0</v>
      </c>
      <c r="K107" s="409" t="s">
        <v>154</v>
      </c>
    </row>
    <row r="108" spans="2:11" ht="18" thickBot="1" x14ac:dyDescent="0.35">
      <c r="B108" s="414"/>
      <c r="C108" s="408" t="s">
        <v>221</v>
      </c>
      <c r="D108" s="307"/>
      <c r="E108" s="307"/>
      <c r="F108" s="310">
        <f t="shared" si="23"/>
        <v>0</v>
      </c>
      <c r="G108" s="310" t="s">
        <v>0</v>
      </c>
      <c r="H108" s="337">
        <f>Vall!F60</f>
        <v>0</v>
      </c>
      <c r="I108" s="310" t="s">
        <v>14</v>
      </c>
      <c r="J108" s="337">
        <f t="shared" si="24"/>
        <v>0</v>
      </c>
      <c r="K108" s="842" t="s">
        <v>154</v>
      </c>
    </row>
    <row r="109" spans="2:11" s="366" customFormat="1" ht="21.6" thickBot="1" x14ac:dyDescent="0.45">
      <c r="B109" s="932" t="s">
        <v>231</v>
      </c>
      <c r="C109" s="933"/>
      <c r="D109" s="933"/>
      <c r="E109" s="933"/>
      <c r="F109" s="933"/>
      <c r="G109" s="420"/>
      <c r="H109" s="420"/>
      <c r="I109" s="420"/>
      <c r="J109" s="418">
        <f>SUM(J87:J108)</f>
        <v>49537.316666666666</v>
      </c>
      <c r="K109" s="424" t="s">
        <v>154</v>
      </c>
    </row>
    <row r="110" spans="2:11" x14ac:dyDescent="0.25">
      <c r="B110" s="414"/>
      <c r="C110" s="307"/>
      <c r="D110" s="307"/>
      <c r="E110" s="307"/>
      <c r="F110" s="307"/>
      <c r="G110" s="307"/>
      <c r="H110" s="307"/>
      <c r="I110" s="307"/>
      <c r="J110" s="307"/>
      <c r="K110" s="405"/>
    </row>
    <row r="111" spans="2:11" ht="21" x14ac:dyDescent="0.4">
      <c r="B111" s="934" t="s">
        <v>232</v>
      </c>
      <c r="C111" s="935"/>
      <c r="D111" s="935"/>
      <c r="E111" s="307"/>
      <c r="F111" s="307"/>
      <c r="G111" s="307"/>
      <c r="H111" s="307"/>
      <c r="I111" s="307"/>
      <c r="J111" s="307"/>
      <c r="K111" s="405"/>
    </row>
    <row r="112" spans="2:11" ht="21" x14ac:dyDescent="0.4">
      <c r="B112" s="691"/>
      <c r="C112" s="408" t="s">
        <v>202</v>
      </c>
      <c r="D112" s="307"/>
      <c r="E112" s="307"/>
      <c r="F112" s="310">
        <f>F87</f>
        <v>1</v>
      </c>
      <c r="G112" s="310" t="s">
        <v>0</v>
      </c>
      <c r="H112" s="337">
        <f>Morot!F64</f>
        <v>18282.106985890652</v>
      </c>
      <c r="I112" s="310" t="s">
        <v>14</v>
      </c>
      <c r="J112" s="337">
        <f t="shared" ref="J112:J133" si="27">F112*H112</f>
        <v>18282.106985890652</v>
      </c>
      <c r="K112" s="409" t="s">
        <v>154</v>
      </c>
    </row>
    <row r="113" spans="2:11" ht="21" x14ac:dyDescent="0.4">
      <c r="B113" s="691"/>
      <c r="C113" s="408" t="s">
        <v>203</v>
      </c>
      <c r="D113" s="307"/>
      <c r="E113" s="307"/>
      <c r="F113" s="310">
        <f>F88</f>
        <v>1</v>
      </c>
      <c r="G113" s="310" t="s">
        <v>0</v>
      </c>
      <c r="H113" s="337">
        <f>Kål!F64</f>
        <v>17149.61231922399</v>
      </c>
      <c r="I113" s="310" t="s">
        <v>14</v>
      </c>
      <c r="J113" s="337">
        <f t="shared" si="27"/>
        <v>17149.61231922399</v>
      </c>
      <c r="K113" s="409" t="s">
        <v>154</v>
      </c>
    </row>
    <row r="114" spans="2:11" ht="21" x14ac:dyDescent="0.4">
      <c r="B114" s="691"/>
      <c r="C114" s="408" t="s">
        <v>204</v>
      </c>
      <c r="D114" s="307"/>
      <c r="E114" s="307"/>
      <c r="F114" s="310">
        <f>F89</f>
        <v>1</v>
      </c>
      <c r="G114" s="310" t="s">
        <v>0</v>
      </c>
      <c r="H114" s="337">
        <f>Lök!F64</f>
        <v>18338.879152557322</v>
      </c>
      <c r="I114" s="310" t="s">
        <v>14</v>
      </c>
      <c r="J114" s="337">
        <f t="shared" si="27"/>
        <v>18338.879152557322</v>
      </c>
      <c r="K114" s="409" t="s">
        <v>154</v>
      </c>
    </row>
    <row r="115" spans="2:11" ht="21" x14ac:dyDescent="0.4">
      <c r="B115" s="691"/>
      <c r="C115" s="408" t="s">
        <v>205</v>
      </c>
      <c r="D115" s="307"/>
      <c r="E115" s="307"/>
      <c r="F115" s="310">
        <f>F90</f>
        <v>1</v>
      </c>
      <c r="G115" s="310" t="s">
        <v>0</v>
      </c>
      <c r="H115" s="337">
        <f>Trädgårdsärt!F64</f>
        <v>13654.838985890652</v>
      </c>
      <c r="I115" s="310" t="s">
        <v>14</v>
      </c>
      <c r="J115" s="337">
        <f t="shared" ref="J115" si="28">F115*H115</f>
        <v>13654.838985890652</v>
      </c>
      <c r="K115" s="409" t="s">
        <v>154</v>
      </c>
    </row>
    <row r="116" spans="2:11" ht="21" x14ac:dyDescent="0.4">
      <c r="B116" s="757"/>
      <c r="C116" s="408" t="s">
        <v>206</v>
      </c>
      <c r="D116" s="307"/>
      <c r="E116" s="307"/>
      <c r="F116" s="310">
        <f t="shared" ref="F116:F120" si="29">F91</f>
        <v>0</v>
      </c>
      <c r="G116" s="310" t="s">
        <v>0</v>
      </c>
      <c r="H116" s="337">
        <f>'Grönsak från frö 1'!F64</f>
        <v>0</v>
      </c>
      <c r="I116" s="310" t="s">
        <v>14</v>
      </c>
      <c r="J116" s="337">
        <f t="shared" ref="J116:J120" si="30">F116*H116</f>
        <v>0</v>
      </c>
      <c r="K116" s="409" t="s">
        <v>154</v>
      </c>
    </row>
    <row r="117" spans="2:11" ht="21" x14ac:dyDescent="0.4">
      <c r="B117" s="757"/>
      <c r="C117" s="408" t="s">
        <v>207</v>
      </c>
      <c r="D117" s="307"/>
      <c r="E117" s="307"/>
      <c r="F117" s="310">
        <f t="shared" si="29"/>
        <v>0</v>
      </c>
      <c r="G117" s="310" t="s">
        <v>0</v>
      </c>
      <c r="H117" s="337">
        <f>'Grönsak från frö 2'!F64</f>
        <v>0</v>
      </c>
      <c r="I117" s="310" t="s">
        <v>14</v>
      </c>
      <c r="J117" s="337">
        <f t="shared" si="30"/>
        <v>0</v>
      </c>
      <c r="K117" s="409" t="s">
        <v>154</v>
      </c>
    </row>
    <row r="118" spans="2:11" ht="21" x14ac:dyDescent="0.4">
      <c r="B118" s="757"/>
      <c r="C118" s="408" t="s">
        <v>208</v>
      </c>
      <c r="D118" s="307"/>
      <c r="E118" s="307"/>
      <c r="F118" s="310">
        <f t="shared" si="29"/>
        <v>0</v>
      </c>
      <c r="G118" s="310" t="s">
        <v>0</v>
      </c>
      <c r="H118" s="337">
        <f>'Planterad grönsak 1'!F64</f>
        <v>0</v>
      </c>
      <c r="I118" s="310" t="s">
        <v>14</v>
      </c>
      <c r="J118" s="337">
        <f t="shared" si="30"/>
        <v>0</v>
      </c>
      <c r="K118" s="409" t="s">
        <v>154</v>
      </c>
    </row>
    <row r="119" spans="2:11" ht="21" x14ac:dyDescent="0.4">
      <c r="B119" s="757"/>
      <c r="C119" s="408" t="s">
        <v>209</v>
      </c>
      <c r="D119" s="307"/>
      <c r="E119" s="307"/>
      <c r="F119" s="310">
        <f t="shared" si="29"/>
        <v>0</v>
      </c>
      <c r="G119" s="310" t="s">
        <v>0</v>
      </c>
      <c r="H119" s="337">
        <f>'Planterad grönsak 2'!F62</f>
        <v>0</v>
      </c>
      <c r="I119" s="310" t="s">
        <v>14</v>
      </c>
      <c r="J119" s="337">
        <f t="shared" si="30"/>
        <v>0</v>
      </c>
      <c r="K119" s="409" t="s">
        <v>154</v>
      </c>
    </row>
    <row r="120" spans="2:11" ht="21" x14ac:dyDescent="0.4">
      <c r="B120" s="757"/>
      <c r="C120" s="408" t="s">
        <v>210</v>
      </c>
      <c r="D120" s="307"/>
      <c r="E120" s="307"/>
      <c r="F120" s="310">
        <f t="shared" si="29"/>
        <v>0</v>
      </c>
      <c r="G120" s="310" t="s">
        <v>0</v>
      </c>
      <c r="H120" s="337">
        <f>'Planterad grönsak 3'!F64</f>
        <v>0</v>
      </c>
      <c r="I120" s="310" t="s">
        <v>14</v>
      </c>
      <c r="J120" s="337">
        <f t="shared" si="30"/>
        <v>0</v>
      </c>
      <c r="K120" s="409" t="s">
        <v>154</v>
      </c>
    </row>
    <row r="121" spans="2:11" ht="17.399999999999999" x14ac:dyDescent="0.3">
      <c r="B121" s="414"/>
      <c r="C121" s="408" t="s">
        <v>211</v>
      </c>
      <c r="D121" s="307"/>
      <c r="E121" s="307"/>
      <c r="F121" s="310">
        <f t="shared" ref="F121:F133" si="31">F96</f>
        <v>5</v>
      </c>
      <c r="G121" s="310" t="s">
        <v>0</v>
      </c>
      <c r="H121" s="337">
        <f>'Jordgubbe friland'!F86</f>
        <v>36433.634963668432</v>
      </c>
      <c r="I121" s="310" t="s">
        <v>14</v>
      </c>
      <c r="J121" s="337">
        <f t="shared" si="27"/>
        <v>182168.17481834214</v>
      </c>
      <c r="K121" s="409" t="s">
        <v>154</v>
      </c>
    </row>
    <row r="122" spans="2:11" ht="17.399999999999999" x14ac:dyDescent="0.3">
      <c r="B122" s="414"/>
      <c r="C122" s="408" t="s">
        <v>212</v>
      </c>
      <c r="D122" s="307"/>
      <c r="E122" s="307"/>
      <c r="F122" s="310">
        <f t="shared" si="31"/>
        <v>1</v>
      </c>
      <c r="G122" s="310" t="s">
        <v>0</v>
      </c>
      <c r="H122" s="337">
        <f>'Jordgubbe tunnel'!F66</f>
        <v>107505.45222574957</v>
      </c>
      <c r="I122" s="310" t="s">
        <v>14</v>
      </c>
      <c r="J122" s="337">
        <f t="shared" si="27"/>
        <v>107505.45222574957</v>
      </c>
      <c r="K122" s="409" t="s">
        <v>154</v>
      </c>
    </row>
    <row r="123" spans="2:11" ht="17.399999999999999" x14ac:dyDescent="0.3">
      <c r="B123" s="414"/>
      <c r="C123" s="408" t="s">
        <v>213</v>
      </c>
      <c r="D123" s="307"/>
      <c r="E123" s="307"/>
      <c r="F123" s="310">
        <f t="shared" si="31"/>
        <v>4</v>
      </c>
      <c r="G123" s="310" t="s">
        <v>0</v>
      </c>
      <c r="H123" s="337">
        <f>'Hallon friland'!F85</f>
        <v>41660.564664462087</v>
      </c>
      <c r="I123" s="310" t="s">
        <v>14</v>
      </c>
      <c r="J123" s="337">
        <f t="shared" si="27"/>
        <v>166642.25865784835</v>
      </c>
      <c r="K123" s="409" t="s">
        <v>154</v>
      </c>
    </row>
    <row r="124" spans="2:11" ht="17.399999999999999" x14ac:dyDescent="0.3">
      <c r="B124" s="414"/>
      <c r="C124" s="408" t="s">
        <v>214</v>
      </c>
      <c r="D124" s="307"/>
      <c r="E124" s="307"/>
      <c r="F124" s="310">
        <f t="shared" si="31"/>
        <v>1</v>
      </c>
      <c r="G124" s="310" t="s">
        <v>0</v>
      </c>
      <c r="H124" s="337">
        <f>'Hallon tunnel'!F65</f>
        <v>16214.812414462085</v>
      </c>
      <c r="I124" s="310" t="s">
        <v>14</v>
      </c>
      <c r="J124" s="337">
        <f t="shared" si="27"/>
        <v>16214.812414462085</v>
      </c>
      <c r="K124" s="409" t="s">
        <v>154</v>
      </c>
    </row>
    <row r="125" spans="2:11" ht="17.399999999999999" x14ac:dyDescent="0.3">
      <c r="B125" s="414"/>
      <c r="C125" s="408" t="s">
        <v>215</v>
      </c>
      <c r="D125" s="307"/>
      <c r="E125" s="307"/>
      <c r="F125" s="310">
        <f t="shared" si="31"/>
        <v>5</v>
      </c>
      <c r="G125" s="310" t="s">
        <v>0</v>
      </c>
      <c r="H125" s="337">
        <f>'Svarta vinbär'!F97</f>
        <v>23541.747008112874</v>
      </c>
      <c r="I125" s="310" t="s">
        <v>14</v>
      </c>
      <c r="J125" s="337">
        <f t="shared" si="27"/>
        <v>117708.73504056437</v>
      </c>
      <c r="K125" s="409" t="s">
        <v>154</v>
      </c>
    </row>
    <row r="126" spans="2:11" ht="17.399999999999999" x14ac:dyDescent="0.3">
      <c r="B126" s="414"/>
      <c r="C126" s="408" t="s">
        <v>216</v>
      </c>
      <c r="D126" s="307"/>
      <c r="E126" s="307"/>
      <c r="F126" s="310">
        <f t="shared" si="31"/>
        <v>1</v>
      </c>
      <c r="G126" s="310" t="s">
        <v>0</v>
      </c>
      <c r="H126" s="337">
        <f>Buskblåbär!F100</f>
        <v>28414.114214462083</v>
      </c>
      <c r="I126" s="310" t="s">
        <v>14</v>
      </c>
      <c r="J126" s="337">
        <f t="shared" si="27"/>
        <v>28414.114214462083</v>
      </c>
      <c r="K126" s="409" t="s">
        <v>154</v>
      </c>
    </row>
    <row r="127" spans="2:11" ht="17.399999999999999" x14ac:dyDescent="0.3">
      <c r="B127" s="414"/>
      <c r="C127" s="408" t="s">
        <v>198</v>
      </c>
      <c r="D127" s="307"/>
      <c r="E127" s="307"/>
      <c r="F127" s="310">
        <f t="shared" si="31"/>
        <v>3</v>
      </c>
      <c r="G127" s="310" t="s">
        <v>0</v>
      </c>
      <c r="H127" s="337">
        <f>Äpple!F100</f>
        <v>32371.166027160492</v>
      </c>
      <c r="I127" s="310" t="s">
        <v>14</v>
      </c>
      <c r="J127" s="337">
        <f t="shared" si="27"/>
        <v>97113.498081481477</v>
      </c>
      <c r="K127" s="409" t="s">
        <v>154</v>
      </c>
    </row>
    <row r="128" spans="2:11" ht="17.399999999999999" x14ac:dyDescent="0.3">
      <c r="B128" s="414"/>
      <c r="C128" s="408" t="s">
        <v>217</v>
      </c>
      <c r="D128" s="307"/>
      <c r="E128" s="307"/>
      <c r="F128" s="310">
        <f t="shared" si="31"/>
        <v>3</v>
      </c>
      <c r="G128" s="310" t="s">
        <v>0</v>
      </c>
      <c r="H128" s="337">
        <f>Havre!F62</f>
        <v>2045.5434938271603</v>
      </c>
      <c r="I128" s="310" t="s">
        <v>14</v>
      </c>
      <c r="J128" s="337">
        <f t="shared" si="27"/>
        <v>6136.6304814814812</v>
      </c>
      <c r="K128" s="409" t="s">
        <v>154</v>
      </c>
    </row>
    <row r="129" spans="2:11" ht="17.399999999999999" x14ac:dyDescent="0.3">
      <c r="B129" s="414"/>
      <c r="C129" s="408" t="s">
        <v>218</v>
      </c>
      <c r="D129" s="307"/>
      <c r="E129" s="307"/>
      <c r="F129" s="310">
        <f t="shared" si="31"/>
        <v>0</v>
      </c>
      <c r="G129" s="310" t="s">
        <v>0</v>
      </c>
      <c r="H129" s="337">
        <f>Korn!F62</f>
        <v>0</v>
      </c>
      <c r="I129" s="310" t="s">
        <v>14</v>
      </c>
      <c r="J129" s="337">
        <f t="shared" si="27"/>
        <v>0</v>
      </c>
      <c r="K129" s="409" t="s">
        <v>154</v>
      </c>
    </row>
    <row r="130" spans="2:11" ht="17.399999999999999" x14ac:dyDescent="0.3">
      <c r="B130" s="414"/>
      <c r="C130" s="408" t="s">
        <v>219</v>
      </c>
      <c r="D130" s="307"/>
      <c r="E130" s="307"/>
      <c r="F130" s="310">
        <f t="shared" si="31"/>
        <v>0</v>
      </c>
      <c r="G130" s="310" t="s">
        <v>0</v>
      </c>
      <c r="H130" s="337">
        <f>Vete!F62</f>
        <v>0</v>
      </c>
      <c r="I130" s="310" t="s">
        <v>14</v>
      </c>
      <c r="J130" s="337">
        <f t="shared" si="27"/>
        <v>0</v>
      </c>
      <c r="K130" s="409" t="s">
        <v>154</v>
      </c>
    </row>
    <row r="131" spans="2:11" ht="17.399999999999999" x14ac:dyDescent="0.3">
      <c r="B131" s="414"/>
      <c r="C131" s="408" t="s">
        <v>220</v>
      </c>
      <c r="D131" s="307"/>
      <c r="E131" s="307"/>
      <c r="F131" s="310">
        <f t="shared" si="31"/>
        <v>0</v>
      </c>
      <c r="G131" s="310" t="s">
        <v>0</v>
      </c>
      <c r="H131" s="337">
        <f>Höstråg!F62</f>
        <v>0</v>
      </c>
      <c r="I131" s="310" t="s">
        <v>14</v>
      </c>
      <c r="J131" s="337">
        <f t="shared" ref="J131" si="32">F131*H131</f>
        <v>0</v>
      </c>
      <c r="K131" s="409" t="s">
        <v>154</v>
      </c>
    </row>
    <row r="132" spans="2:11" ht="17.399999999999999" x14ac:dyDescent="0.3">
      <c r="B132" s="414"/>
      <c r="C132" s="408" t="s">
        <v>223</v>
      </c>
      <c r="D132" s="307"/>
      <c r="E132" s="307"/>
      <c r="F132" s="310">
        <f t="shared" si="31"/>
        <v>0</v>
      </c>
      <c r="G132" s="310" t="s">
        <v>0</v>
      </c>
      <c r="H132" s="337">
        <f>Naturvårdsåker!F62</f>
        <v>0</v>
      </c>
      <c r="I132" s="310" t="s">
        <v>14</v>
      </c>
      <c r="J132" s="337">
        <f t="shared" si="27"/>
        <v>0</v>
      </c>
      <c r="K132" s="409" t="s">
        <v>154</v>
      </c>
    </row>
    <row r="133" spans="2:11" ht="18" thickBot="1" x14ac:dyDescent="0.35">
      <c r="B133" s="414"/>
      <c r="C133" s="408" t="s">
        <v>221</v>
      </c>
      <c r="D133" s="307"/>
      <c r="E133" s="307"/>
      <c r="F133" s="310">
        <f t="shared" si="31"/>
        <v>0</v>
      </c>
      <c r="G133" s="310" t="s">
        <v>0</v>
      </c>
      <c r="H133" s="337">
        <f>Vall!F62</f>
        <v>0</v>
      </c>
      <c r="I133" s="310" t="s">
        <v>14</v>
      </c>
      <c r="J133" s="337">
        <f t="shared" si="27"/>
        <v>0</v>
      </c>
      <c r="K133" s="842" t="s">
        <v>154</v>
      </c>
    </row>
    <row r="134" spans="2:11" ht="21.6" thickBot="1" x14ac:dyDescent="0.45">
      <c r="B134" s="416" t="s">
        <v>233</v>
      </c>
      <c r="C134" s="811"/>
      <c r="D134" s="417"/>
      <c r="E134" s="417"/>
      <c r="F134" s="417"/>
      <c r="G134" s="417"/>
      <c r="H134" s="418"/>
      <c r="I134" s="417"/>
      <c r="J134" s="418">
        <f>SUM(J112:J133)</f>
        <v>789329.113377954</v>
      </c>
      <c r="K134" s="424" t="s">
        <v>154</v>
      </c>
    </row>
    <row r="135" spans="2:11" s="366" customFormat="1" x14ac:dyDescent="0.25">
      <c r="B135" s="414"/>
      <c r="C135" s="307"/>
      <c r="D135" s="307"/>
      <c r="E135" s="307"/>
      <c r="F135" s="307"/>
      <c r="G135" s="307"/>
      <c r="H135" s="307"/>
      <c r="I135" s="307"/>
      <c r="J135" s="307"/>
      <c r="K135" s="405"/>
    </row>
    <row r="136" spans="2:11" ht="21" x14ac:dyDescent="0.4">
      <c r="B136" s="934" t="s">
        <v>234</v>
      </c>
      <c r="C136" s="935"/>
      <c r="D136" s="935"/>
      <c r="E136" s="307"/>
      <c r="F136" s="307"/>
      <c r="G136" s="307"/>
      <c r="H136" s="307"/>
      <c r="I136" s="307"/>
      <c r="J136" s="307"/>
      <c r="K136" s="405"/>
    </row>
    <row r="137" spans="2:11" ht="21" x14ac:dyDescent="0.4">
      <c r="B137" s="400"/>
      <c r="C137" s="408" t="s">
        <v>202</v>
      </c>
      <c r="D137" s="307"/>
      <c r="E137" s="307"/>
      <c r="F137" s="310">
        <f>F87</f>
        <v>1</v>
      </c>
      <c r="G137" s="310" t="s">
        <v>0</v>
      </c>
      <c r="H137" s="337">
        <f>Morot!F66</f>
        <v>35957.893014109344</v>
      </c>
      <c r="I137" s="310" t="s">
        <v>14</v>
      </c>
      <c r="J137" s="337">
        <f t="shared" ref="J137:J139" si="33">F137*H137</f>
        <v>35957.893014109344</v>
      </c>
      <c r="K137" s="409" t="s">
        <v>154</v>
      </c>
    </row>
    <row r="138" spans="2:11" ht="21" x14ac:dyDescent="0.4">
      <c r="B138" s="400"/>
      <c r="C138" s="408" t="s">
        <v>203</v>
      </c>
      <c r="D138" s="307"/>
      <c r="E138" s="307"/>
      <c r="F138" s="310">
        <f>F88</f>
        <v>1</v>
      </c>
      <c r="G138" s="310" t="s">
        <v>0</v>
      </c>
      <c r="H138" s="337">
        <f>Kål!F66</f>
        <v>24650.387680776013</v>
      </c>
      <c r="I138" s="310" t="s">
        <v>14</v>
      </c>
      <c r="J138" s="337">
        <f t="shared" si="33"/>
        <v>24650.387680776013</v>
      </c>
      <c r="K138" s="409" t="s">
        <v>154</v>
      </c>
    </row>
    <row r="139" spans="2:11" ht="21" x14ac:dyDescent="0.4">
      <c r="B139" s="400"/>
      <c r="C139" s="408" t="s">
        <v>204</v>
      </c>
      <c r="D139" s="307"/>
      <c r="E139" s="307"/>
      <c r="F139" s="310">
        <f>F89</f>
        <v>1</v>
      </c>
      <c r="G139" s="310" t="s">
        <v>0</v>
      </c>
      <c r="H139" s="337">
        <f>Lök!F66</f>
        <v>15261.120847442682</v>
      </c>
      <c r="I139" s="310" t="s">
        <v>14</v>
      </c>
      <c r="J139" s="337">
        <f t="shared" si="33"/>
        <v>15261.120847442682</v>
      </c>
      <c r="K139" s="409" t="s">
        <v>154</v>
      </c>
    </row>
    <row r="140" spans="2:11" ht="21" x14ac:dyDescent="0.4">
      <c r="B140" s="691"/>
      <c r="C140" s="408" t="s">
        <v>205</v>
      </c>
      <c r="D140" s="307"/>
      <c r="E140" s="307"/>
      <c r="F140" s="310">
        <f>F90</f>
        <v>1</v>
      </c>
      <c r="G140" s="310" t="s">
        <v>0</v>
      </c>
      <c r="H140" s="337">
        <f>Trädgårdsärt!F66</f>
        <v>1545.1610141093479</v>
      </c>
      <c r="I140" s="310" t="s">
        <v>14</v>
      </c>
      <c r="J140" s="337">
        <f t="shared" ref="J140" si="34">F140*H140</f>
        <v>1545.1610141093479</v>
      </c>
      <c r="K140" s="409" t="s">
        <v>154</v>
      </c>
    </row>
    <row r="141" spans="2:11" ht="21" x14ac:dyDescent="0.4">
      <c r="B141" s="757"/>
      <c r="C141" s="408" t="s">
        <v>206</v>
      </c>
      <c r="D141" s="307"/>
      <c r="E141" s="307"/>
      <c r="F141" s="310">
        <f t="shared" ref="F141:F145" si="35">F91</f>
        <v>0</v>
      </c>
      <c r="G141" s="310" t="s">
        <v>0</v>
      </c>
      <c r="H141" s="337">
        <f>'Grönsak från frö 1'!F66</f>
        <v>0</v>
      </c>
      <c r="I141" s="310" t="s">
        <v>14</v>
      </c>
      <c r="J141" s="337">
        <f t="shared" ref="J141:J145" si="36">F141*H141</f>
        <v>0</v>
      </c>
      <c r="K141" s="409" t="s">
        <v>154</v>
      </c>
    </row>
    <row r="142" spans="2:11" ht="21" x14ac:dyDescent="0.4">
      <c r="B142" s="757"/>
      <c r="C142" s="408" t="s">
        <v>207</v>
      </c>
      <c r="D142" s="307"/>
      <c r="E142" s="307"/>
      <c r="F142" s="310">
        <f t="shared" si="35"/>
        <v>0</v>
      </c>
      <c r="G142" s="310" t="s">
        <v>0</v>
      </c>
      <c r="H142" s="337">
        <f>'Grönsak från frö 2'!F66</f>
        <v>0</v>
      </c>
      <c r="I142" s="310" t="s">
        <v>14</v>
      </c>
      <c r="J142" s="337">
        <f t="shared" si="36"/>
        <v>0</v>
      </c>
      <c r="K142" s="409" t="s">
        <v>154</v>
      </c>
    </row>
    <row r="143" spans="2:11" ht="21" x14ac:dyDescent="0.4">
      <c r="B143" s="757"/>
      <c r="C143" s="408" t="s">
        <v>208</v>
      </c>
      <c r="D143" s="307"/>
      <c r="E143" s="307"/>
      <c r="F143" s="310">
        <f t="shared" si="35"/>
        <v>0</v>
      </c>
      <c r="G143" s="310" t="s">
        <v>0</v>
      </c>
      <c r="H143" s="337">
        <f>'Planterad grönsak 1'!F66</f>
        <v>0</v>
      </c>
      <c r="I143" s="310" t="s">
        <v>14</v>
      </c>
      <c r="J143" s="337">
        <f t="shared" si="36"/>
        <v>0</v>
      </c>
      <c r="K143" s="409" t="s">
        <v>154</v>
      </c>
    </row>
    <row r="144" spans="2:11" ht="21" x14ac:dyDescent="0.4">
      <c r="B144" s="757"/>
      <c r="C144" s="408" t="s">
        <v>209</v>
      </c>
      <c r="D144" s="307"/>
      <c r="E144" s="307"/>
      <c r="F144" s="310">
        <f t="shared" si="35"/>
        <v>0</v>
      </c>
      <c r="G144" s="310" t="s">
        <v>0</v>
      </c>
      <c r="H144" s="337">
        <f>'Planterad grönsak 2'!F66</f>
        <v>0</v>
      </c>
      <c r="I144" s="310" t="s">
        <v>14</v>
      </c>
      <c r="J144" s="337">
        <f t="shared" si="36"/>
        <v>0</v>
      </c>
      <c r="K144" s="409" t="s">
        <v>154</v>
      </c>
    </row>
    <row r="145" spans="2:11" ht="21" x14ac:dyDescent="0.4">
      <c r="B145" s="757"/>
      <c r="C145" s="408" t="s">
        <v>210</v>
      </c>
      <c r="D145" s="307"/>
      <c r="E145" s="307"/>
      <c r="F145" s="310">
        <f t="shared" si="35"/>
        <v>0</v>
      </c>
      <c r="G145" s="310" t="s">
        <v>0</v>
      </c>
      <c r="H145" s="337">
        <f>'Planterad grönsak 3'!F66</f>
        <v>0</v>
      </c>
      <c r="I145" s="310" t="s">
        <v>14</v>
      </c>
      <c r="J145" s="337">
        <f t="shared" si="36"/>
        <v>0</v>
      </c>
      <c r="K145" s="409" t="s">
        <v>154</v>
      </c>
    </row>
    <row r="146" spans="2:11" ht="17.399999999999999" x14ac:dyDescent="0.3">
      <c r="B146" s="414"/>
      <c r="C146" s="408" t="s">
        <v>211</v>
      </c>
      <c r="D146" s="307"/>
      <c r="E146" s="307"/>
      <c r="F146" s="310">
        <f t="shared" ref="F146:F156" si="37">F96</f>
        <v>5</v>
      </c>
      <c r="G146" s="310" t="s">
        <v>0</v>
      </c>
      <c r="H146" s="337">
        <f>IF(F146&gt;0,'Jordgubbe friland'!F88,0)</f>
        <v>-19263.634963668428</v>
      </c>
      <c r="I146" s="310" t="s">
        <v>14</v>
      </c>
      <c r="J146" s="337">
        <f>F146*H146</f>
        <v>-96318.174818342144</v>
      </c>
      <c r="K146" s="409" t="s">
        <v>154</v>
      </c>
    </row>
    <row r="147" spans="2:11" ht="17.399999999999999" x14ac:dyDescent="0.3">
      <c r="B147" s="414"/>
      <c r="C147" s="408" t="s">
        <v>212</v>
      </c>
      <c r="D147" s="307"/>
      <c r="E147" s="307"/>
      <c r="F147" s="310">
        <f t="shared" si="37"/>
        <v>1</v>
      </c>
      <c r="G147" s="310" t="s">
        <v>0</v>
      </c>
      <c r="H147" s="337">
        <f>'Jordgubbe tunnel'!F68</f>
        <v>-67105.452225749556</v>
      </c>
      <c r="I147" s="310" t="s">
        <v>14</v>
      </c>
      <c r="J147" s="337">
        <f t="shared" ref="J147:J158" si="38">F147*H147</f>
        <v>-67105.452225749556</v>
      </c>
      <c r="K147" s="409" t="s">
        <v>154</v>
      </c>
    </row>
    <row r="148" spans="2:11" ht="17.399999999999999" x14ac:dyDescent="0.3">
      <c r="B148" s="414"/>
      <c r="C148" s="408" t="s">
        <v>213</v>
      </c>
      <c r="D148" s="307"/>
      <c r="E148" s="307"/>
      <c r="F148" s="310">
        <f t="shared" si="37"/>
        <v>4</v>
      </c>
      <c r="G148" s="310" t="s">
        <v>0</v>
      </c>
      <c r="H148" s="337">
        <f>'Hallon friland'!F87</f>
        <v>-18528.06466446209</v>
      </c>
      <c r="I148" s="310" t="s">
        <v>14</v>
      </c>
      <c r="J148" s="337">
        <f t="shared" si="38"/>
        <v>-74112.258657848361</v>
      </c>
      <c r="K148" s="409" t="s">
        <v>154</v>
      </c>
    </row>
    <row r="149" spans="2:11" ht="17.399999999999999" x14ac:dyDescent="0.3">
      <c r="B149" s="414"/>
      <c r="C149" s="408" t="s">
        <v>214</v>
      </c>
      <c r="D149" s="307"/>
      <c r="E149" s="307"/>
      <c r="F149" s="310">
        <f t="shared" si="37"/>
        <v>1</v>
      </c>
      <c r="G149" s="310" t="s">
        <v>0</v>
      </c>
      <c r="H149" s="337">
        <f>IF(F149&gt;0,'Hallon tunnel'!F67,0)</f>
        <v>6917.6875855379149</v>
      </c>
      <c r="I149" s="310" t="s">
        <v>14</v>
      </c>
      <c r="J149" s="337">
        <f t="shared" si="38"/>
        <v>6917.6875855379149</v>
      </c>
      <c r="K149" s="409" t="s">
        <v>154</v>
      </c>
    </row>
    <row r="150" spans="2:11" ht="17.399999999999999" x14ac:dyDescent="0.3">
      <c r="B150" s="414"/>
      <c r="C150" s="408" t="s">
        <v>215</v>
      </c>
      <c r="D150" s="307"/>
      <c r="E150" s="307"/>
      <c r="F150" s="310">
        <f t="shared" si="37"/>
        <v>5</v>
      </c>
      <c r="G150" s="310" t="s">
        <v>0</v>
      </c>
      <c r="H150" s="337">
        <f>IF(F150&gt;0,'Svarta vinbär'!F99,0)</f>
        <v>-4691.7470081128768</v>
      </c>
      <c r="I150" s="310" t="s">
        <v>14</v>
      </c>
      <c r="J150" s="337">
        <f t="shared" si="38"/>
        <v>-23458.735040564385</v>
      </c>
      <c r="K150" s="409" t="s">
        <v>154</v>
      </c>
    </row>
    <row r="151" spans="2:11" ht="17.399999999999999" x14ac:dyDescent="0.3">
      <c r="B151" s="414"/>
      <c r="C151" s="408" t="s">
        <v>216</v>
      </c>
      <c r="D151" s="307"/>
      <c r="E151" s="307"/>
      <c r="F151" s="310">
        <f t="shared" si="37"/>
        <v>1</v>
      </c>
      <c r="G151" s="310" t="s">
        <v>0</v>
      </c>
      <c r="H151" s="337">
        <f>IF(F151&gt;0,Buskblåbär!F102,0)</f>
        <v>25270.885785537917</v>
      </c>
      <c r="I151" s="310" t="s">
        <v>14</v>
      </c>
      <c r="J151" s="337">
        <f t="shared" si="38"/>
        <v>25270.885785537917</v>
      </c>
      <c r="K151" s="409" t="s">
        <v>154</v>
      </c>
    </row>
    <row r="152" spans="2:11" ht="17.399999999999999" x14ac:dyDescent="0.3">
      <c r="B152" s="414"/>
      <c r="C152" s="408" t="s">
        <v>198</v>
      </c>
      <c r="D152" s="307"/>
      <c r="E152" s="307"/>
      <c r="F152" s="310">
        <f t="shared" si="37"/>
        <v>3</v>
      </c>
      <c r="G152" s="310" t="s">
        <v>0</v>
      </c>
      <c r="H152" s="337">
        <f>Äpple!F102</f>
        <v>-9137.8326938271603</v>
      </c>
      <c r="I152" s="310" t="s">
        <v>14</v>
      </c>
      <c r="J152" s="337">
        <f t="shared" si="38"/>
        <v>-27413.498081481481</v>
      </c>
      <c r="K152" s="409" t="s">
        <v>154</v>
      </c>
    </row>
    <row r="153" spans="2:11" ht="17.399999999999999" x14ac:dyDescent="0.3">
      <c r="B153" s="414"/>
      <c r="C153" s="408" t="s">
        <v>217</v>
      </c>
      <c r="D153" s="307"/>
      <c r="E153" s="307"/>
      <c r="F153" s="310">
        <f t="shared" si="37"/>
        <v>3</v>
      </c>
      <c r="G153" s="310" t="s">
        <v>0</v>
      </c>
      <c r="H153" s="337">
        <f>IF(F153&gt;0,Havre!F64,0)</f>
        <v>-1100.5434938271601</v>
      </c>
      <c r="I153" s="310" t="s">
        <v>14</v>
      </c>
      <c r="J153" s="337">
        <f t="shared" si="38"/>
        <v>-3301.6304814814803</v>
      </c>
      <c r="K153" s="409" t="s">
        <v>154</v>
      </c>
    </row>
    <row r="154" spans="2:11" ht="17.399999999999999" x14ac:dyDescent="0.3">
      <c r="B154" s="414"/>
      <c r="C154" s="408" t="s">
        <v>218</v>
      </c>
      <c r="D154" s="307"/>
      <c r="E154" s="307"/>
      <c r="F154" s="310">
        <f t="shared" si="37"/>
        <v>0</v>
      </c>
      <c r="G154" s="310" t="s">
        <v>0</v>
      </c>
      <c r="H154" s="337">
        <f>IF(F154&gt;0,Korn!F64,0)</f>
        <v>0</v>
      </c>
      <c r="I154" s="310" t="s">
        <v>14</v>
      </c>
      <c r="J154" s="337">
        <f t="shared" ref="J154:J155" si="39">F154*H154</f>
        <v>0</v>
      </c>
      <c r="K154" s="409" t="s">
        <v>154</v>
      </c>
    </row>
    <row r="155" spans="2:11" ht="17.399999999999999" x14ac:dyDescent="0.3">
      <c r="B155" s="414"/>
      <c r="C155" s="408" t="s">
        <v>219</v>
      </c>
      <c r="D155" s="307"/>
      <c r="E155" s="307"/>
      <c r="F155" s="310">
        <f t="shared" si="37"/>
        <v>0</v>
      </c>
      <c r="G155" s="310" t="s">
        <v>0</v>
      </c>
      <c r="H155" s="337">
        <f>IF(F155&gt;0,Vete!F64,0)</f>
        <v>0</v>
      </c>
      <c r="I155" s="310" t="s">
        <v>14</v>
      </c>
      <c r="J155" s="337">
        <f t="shared" si="39"/>
        <v>0</v>
      </c>
      <c r="K155" s="409" t="s">
        <v>154</v>
      </c>
    </row>
    <row r="156" spans="2:11" ht="17.399999999999999" x14ac:dyDescent="0.3">
      <c r="B156" s="414"/>
      <c r="C156" s="408" t="s">
        <v>220</v>
      </c>
      <c r="D156" s="307"/>
      <c r="E156" s="307"/>
      <c r="F156" s="310">
        <f t="shared" si="37"/>
        <v>0</v>
      </c>
      <c r="G156" s="310" t="s">
        <v>0</v>
      </c>
      <c r="H156" s="337">
        <f>Höstråg!F64</f>
        <v>0</v>
      </c>
      <c r="I156" s="310" t="s">
        <v>14</v>
      </c>
      <c r="J156" s="337">
        <f t="shared" ref="J156" si="40">F156*H156</f>
        <v>0</v>
      </c>
      <c r="K156" s="409" t="s">
        <v>154</v>
      </c>
    </row>
    <row r="157" spans="2:11" ht="17.399999999999999" x14ac:dyDescent="0.3">
      <c r="B157" s="414"/>
      <c r="C157" s="408" t="s">
        <v>223</v>
      </c>
      <c r="D157" s="307"/>
      <c r="E157" s="307"/>
      <c r="F157" s="310">
        <f t="shared" ref="F157:F158" si="41">F107</f>
        <v>0</v>
      </c>
      <c r="G157" s="310" t="s">
        <v>0</v>
      </c>
      <c r="H157" s="337">
        <f>IF(F157&gt;0,Naturvårdsåker!F64,0)</f>
        <v>0</v>
      </c>
      <c r="I157" s="310" t="s">
        <v>14</v>
      </c>
      <c r="J157" s="337">
        <f t="shared" si="38"/>
        <v>0</v>
      </c>
      <c r="K157" s="409" t="s">
        <v>154</v>
      </c>
    </row>
    <row r="158" spans="2:11" ht="18" thickBot="1" x14ac:dyDescent="0.35">
      <c r="B158" s="414"/>
      <c r="C158" s="408" t="s">
        <v>221</v>
      </c>
      <c r="D158" s="307"/>
      <c r="E158" s="307"/>
      <c r="F158" s="310">
        <f t="shared" si="41"/>
        <v>0</v>
      </c>
      <c r="G158" s="310" t="s">
        <v>0</v>
      </c>
      <c r="H158" s="337">
        <f>Vall!F64</f>
        <v>0</v>
      </c>
      <c r="I158" s="310" t="s">
        <v>14</v>
      </c>
      <c r="J158" s="337">
        <f t="shared" si="38"/>
        <v>0</v>
      </c>
      <c r="K158" s="842" t="s">
        <v>154</v>
      </c>
    </row>
    <row r="159" spans="2:11" ht="21.6" thickBot="1" x14ac:dyDescent="0.45">
      <c r="B159" s="936" t="s">
        <v>235</v>
      </c>
      <c r="C159" s="937"/>
      <c r="D159" s="937"/>
      <c r="E159" s="937"/>
      <c r="F159" s="937"/>
      <c r="G159" s="422"/>
      <c r="H159" s="422"/>
      <c r="I159" s="422"/>
      <c r="J159" s="423">
        <f>SUM(J137:J158)</f>
        <v>-182106.6133779542</v>
      </c>
      <c r="K159" s="424" t="s">
        <v>154</v>
      </c>
    </row>
    <row r="167" spans="1:15" x14ac:dyDescent="0.25">
      <c r="A167" s="25"/>
      <c r="B167" s="25"/>
      <c r="C167" s="25"/>
      <c r="D167" s="25"/>
      <c r="E167" s="25"/>
      <c r="F167" s="25"/>
      <c r="G167" s="25"/>
      <c r="H167" s="25"/>
      <c r="I167" s="25"/>
      <c r="J167" s="25"/>
      <c r="K167" s="25"/>
      <c r="L167" s="25"/>
      <c r="M167" s="25"/>
      <c r="N167" s="25"/>
      <c r="O167" s="25"/>
    </row>
    <row r="168" spans="1:15" x14ac:dyDescent="0.25">
      <c r="A168" s="25"/>
      <c r="B168" s="25"/>
      <c r="C168" s="25"/>
      <c r="D168" s="25"/>
      <c r="E168" s="25"/>
      <c r="F168" s="25"/>
      <c r="G168" s="25"/>
      <c r="H168" s="25"/>
      <c r="I168" s="25"/>
      <c r="J168" s="25"/>
      <c r="K168" s="25"/>
      <c r="L168" s="25"/>
      <c r="M168" s="25"/>
      <c r="N168" s="25"/>
      <c r="O168" s="25"/>
    </row>
    <row r="169" spans="1:15" x14ac:dyDescent="0.25">
      <c r="A169" s="25"/>
      <c r="B169" s="25"/>
      <c r="C169" s="25"/>
      <c r="D169" s="25"/>
      <c r="E169" s="25"/>
      <c r="F169" s="25"/>
      <c r="G169" s="25"/>
      <c r="H169" s="25"/>
      <c r="I169" s="25"/>
      <c r="J169" s="25"/>
      <c r="K169" s="25"/>
      <c r="L169" s="25"/>
      <c r="M169" s="25"/>
      <c r="N169" s="25"/>
      <c r="O169" s="25"/>
    </row>
    <row r="170" spans="1:15" x14ac:dyDescent="0.25">
      <c r="A170" s="25"/>
      <c r="B170" s="25"/>
      <c r="C170" s="25"/>
      <c r="D170" s="25"/>
      <c r="E170" s="25"/>
      <c r="F170" s="25"/>
      <c r="G170" s="25"/>
      <c r="H170" s="25"/>
      <c r="I170" s="25"/>
      <c r="J170" s="25"/>
      <c r="K170" s="25"/>
      <c r="L170" s="25"/>
      <c r="M170" s="25"/>
      <c r="N170" s="25"/>
      <c r="O170" s="25"/>
    </row>
    <row r="171" spans="1:15" x14ac:dyDescent="0.25">
      <c r="A171" s="25"/>
      <c r="B171" s="25"/>
      <c r="C171" s="25"/>
      <c r="D171" s="25"/>
      <c r="E171" s="25"/>
      <c r="F171" s="25"/>
      <c r="G171" s="25"/>
      <c r="H171" s="25"/>
      <c r="I171" s="25"/>
      <c r="J171" s="25"/>
      <c r="K171" s="25"/>
      <c r="L171" s="25"/>
      <c r="M171" s="25"/>
      <c r="N171" s="25"/>
      <c r="O171" s="25"/>
    </row>
    <row r="172" spans="1:15" x14ac:dyDescent="0.25">
      <c r="A172" s="25"/>
      <c r="B172" s="25"/>
      <c r="C172" s="25"/>
      <c r="D172" s="25"/>
      <c r="E172" s="25"/>
      <c r="F172" s="25"/>
      <c r="G172" s="25"/>
      <c r="H172" s="25"/>
      <c r="I172" s="25"/>
      <c r="J172" s="25"/>
      <c r="K172" s="25"/>
      <c r="L172" s="25"/>
      <c r="M172" s="25"/>
      <c r="N172" s="25"/>
      <c r="O172" s="25"/>
    </row>
    <row r="173" spans="1:15" x14ac:dyDescent="0.25">
      <c r="A173" s="25"/>
      <c r="B173" s="25"/>
      <c r="C173" s="25"/>
      <c r="D173" s="25"/>
      <c r="E173" s="25"/>
      <c r="F173" s="25"/>
      <c r="G173" s="25"/>
      <c r="H173" s="25"/>
      <c r="I173" s="25"/>
      <c r="J173" s="25"/>
      <c r="K173" s="25"/>
      <c r="L173" s="25"/>
      <c r="M173" s="25"/>
      <c r="N173" s="25"/>
      <c r="O173" s="25"/>
    </row>
    <row r="174" spans="1:15" x14ac:dyDescent="0.25">
      <c r="A174" s="25"/>
      <c r="B174" s="25"/>
      <c r="C174" s="25"/>
      <c r="D174" s="25"/>
      <c r="E174" s="25"/>
      <c r="F174" s="25"/>
      <c r="G174" s="25"/>
      <c r="H174" s="25"/>
      <c r="I174" s="25"/>
      <c r="J174" s="25"/>
      <c r="K174" s="25"/>
      <c r="L174" s="25"/>
      <c r="M174" s="25"/>
      <c r="N174" s="25"/>
      <c r="O174" s="25"/>
    </row>
    <row r="175" spans="1:15" x14ac:dyDescent="0.25">
      <c r="A175" s="25"/>
      <c r="B175" s="25"/>
      <c r="C175" s="25"/>
      <c r="D175" s="25"/>
      <c r="E175" s="25"/>
      <c r="F175" s="25"/>
      <c r="G175" s="25"/>
      <c r="H175" s="25"/>
      <c r="I175" s="25"/>
      <c r="J175" s="25"/>
      <c r="K175" s="25"/>
      <c r="L175" s="25"/>
      <c r="M175" s="25"/>
      <c r="N175" s="25"/>
      <c r="O175" s="25"/>
    </row>
    <row r="176" spans="1:15" x14ac:dyDescent="0.25">
      <c r="A176" s="25"/>
      <c r="B176" s="25"/>
      <c r="C176" s="25"/>
      <c r="D176" s="25"/>
      <c r="E176" s="25"/>
      <c r="F176" s="25"/>
      <c r="G176" s="25"/>
      <c r="H176" s="25"/>
      <c r="I176" s="25"/>
      <c r="J176" s="25"/>
      <c r="K176" s="25"/>
      <c r="L176" s="25"/>
      <c r="M176" s="25"/>
      <c r="N176" s="25"/>
      <c r="O176" s="25"/>
    </row>
    <row r="177" spans="1:15" x14ac:dyDescent="0.25">
      <c r="A177" s="25"/>
      <c r="B177" s="25"/>
      <c r="C177" s="25"/>
      <c r="D177" s="25"/>
      <c r="E177" s="25"/>
      <c r="F177" s="25"/>
      <c r="G177" s="25"/>
      <c r="H177" s="25"/>
      <c r="I177" s="25"/>
      <c r="J177" s="25"/>
      <c r="K177" s="25"/>
      <c r="L177" s="25"/>
      <c r="M177" s="25"/>
      <c r="N177" s="25"/>
      <c r="O177" s="25"/>
    </row>
    <row r="178" spans="1:15" x14ac:dyDescent="0.25">
      <c r="A178" s="25"/>
      <c r="B178" s="25"/>
      <c r="C178" s="25"/>
      <c r="D178" s="25"/>
      <c r="E178" s="25"/>
      <c r="F178" s="25"/>
      <c r="G178" s="25"/>
      <c r="H178" s="25"/>
      <c r="I178" s="25"/>
      <c r="J178" s="25"/>
      <c r="K178" s="25"/>
      <c r="L178" s="25"/>
      <c r="M178" s="25"/>
      <c r="N178" s="25"/>
      <c r="O178" s="25"/>
    </row>
    <row r="179" spans="1:15" x14ac:dyDescent="0.25">
      <c r="A179" s="25"/>
      <c r="B179" s="25"/>
      <c r="C179" s="25"/>
      <c r="D179" s="25"/>
      <c r="E179" s="25"/>
      <c r="F179" s="25"/>
      <c r="G179" s="25"/>
      <c r="H179" s="25"/>
      <c r="I179" s="25"/>
      <c r="J179" s="25"/>
      <c r="K179" s="25"/>
      <c r="L179" s="25"/>
      <c r="M179" s="25"/>
      <c r="N179" s="25"/>
      <c r="O179" s="25"/>
    </row>
    <row r="180" spans="1:15" x14ac:dyDescent="0.25">
      <c r="A180" s="25"/>
      <c r="B180" s="25"/>
      <c r="C180" s="25"/>
      <c r="D180" s="25"/>
      <c r="E180" s="25"/>
      <c r="F180" s="25"/>
      <c r="G180" s="25"/>
      <c r="H180" s="25"/>
      <c r="I180" s="25"/>
      <c r="J180" s="25"/>
      <c r="K180" s="25"/>
      <c r="L180" s="25"/>
      <c r="M180" s="25"/>
      <c r="N180" s="25"/>
      <c r="O180" s="25"/>
    </row>
    <row r="181" spans="1:15" x14ac:dyDescent="0.25">
      <c r="A181" s="25"/>
      <c r="B181" s="25"/>
      <c r="C181" s="25"/>
      <c r="D181" s="25"/>
      <c r="E181" s="25"/>
      <c r="F181" s="25"/>
      <c r="G181" s="25"/>
      <c r="H181" s="25"/>
      <c r="I181" s="25"/>
      <c r="J181" s="25"/>
      <c r="K181" s="25"/>
      <c r="L181" s="25"/>
      <c r="M181" s="25"/>
      <c r="N181" s="25"/>
      <c r="O181" s="25"/>
    </row>
    <row r="182" spans="1:15" x14ac:dyDescent="0.25">
      <c r="A182" s="25"/>
      <c r="B182" s="25"/>
      <c r="C182" s="25"/>
      <c r="D182" s="25"/>
      <c r="E182" s="25"/>
      <c r="F182" s="25"/>
      <c r="G182" s="25"/>
      <c r="H182" s="25"/>
      <c r="I182" s="25"/>
      <c r="J182" s="25"/>
      <c r="K182" s="25"/>
      <c r="L182" s="25"/>
      <c r="M182" s="25"/>
      <c r="N182" s="25"/>
      <c r="O182" s="25"/>
    </row>
    <row r="183" spans="1:15" x14ac:dyDescent="0.25">
      <c r="A183" s="25"/>
      <c r="B183" s="25"/>
      <c r="C183" s="25"/>
      <c r="D183" s="25"/>
      <c r="E183" s="25"/>
      <c r="F183" s="25"/>
      <c r="G183" s="25"/>
      <c r="H183" s="25"/>
      <c r="I183" s="25"/>
      <c r="J183" s="25"/>
      <c r="K183" s="25"/>
      <c r="L183" s="25"/>
      <c r="M183" s="25"/>
      <c r="N183" s="25"/>
      <c r="O183" s="25"/>
    </row>
    <row r="184" spans="1:15" x14ac:dyDescent="0.25">
      <c r="A184" s="25"/>
      <c r="B184" s="25"/>
      <c r="C184" s="25"/>
      <c r="D184" s="25"/>
      <c r="E184" s="25"/>
      <c r="F184" s="25"/>
      <c r="G184" s="25"/>
      <c r="H184" s="25"/>
      <c r="I184" s="25"/>
      <c r="J184" s="25"/>
      <c r="K184" s="25"/>
      <c r="L184" s="25"/>
      <c r="M184" s="25"/>
      <c r="N184" s="25"/>
      <c r="O184" s="25"/>
    </row>
    <row r="185" spans="1:15" x14ac:dyDescent="0.25">
      <c r="A185" s="25"/>
      <c r="B185" s="25"/>
      <c r="C185" s="25"/>
      <c r="D185" s="25"/>
      <c r="E185" s="25"/>
      <c r="F185" s="25"/>
      <c r="G185" s="25"/>
      <c r="H185" s="25"/>
      <c r="I185" s="25"/>
      <c r="J185" s="25"/>
      <c r="K185" s="25"/>
      <c r="L185" s="25"/>
      <c r="M185" s="25"/>
      <c r="N185" s="25"/>
      <c r="O185" s="25"/>
    </row>
    <row r="186" spans="1:15" x14ac:dyDescent="0.25">
      <c r="A186" s="25"/>
      <c r="B186" s="25"/>
      <c r="C186" s="25"/>
      <c r="D186" s="25"/>
      <c r="E186" s="25"/>
      <c r="F186" s="25"/>
      <c r="G186" s="25"/>
      <c r="H186" s="25"/>
      <c r="I186" s="25"/>
      <c r="J186" s="25"/>
      <c r="K186" s="25"/>
      <c r="L186" s="25"/>
      <c r="M186" s="25"/>
      <c r="N186" s="25"/>
      <c r="O186" s="25"/>
    </row>
    <row r="187" spans="1:15" x14ac:dyDescent="0.25">
      <c r="A187" s="25"/>
      <c r="B187" s="25"/>
      <c r="C187" s="25"/>
      <c r="D187" s="25"/>
      <c r="E187" s="25"/>
      <c r="F187" s="25"/>
      <c r="G187" s="25"/>
      <c r="H187" s="25"/>
      <c r="I187" s="25"/>
      <c r="J187" s="25"/>
      <c r="K187" s="25"/>
      <c r="L187" s="25"/>
      <c r="M187" s="25"/>
      <c r="N187" s="25"/>
      <c r="O187" s="25"/>
    </row>
    <row r="188" spans="1:15" x14ac:dyDescent="0.25">
      <c r="A188" s="25"/>
      <c r="B188" s="25"/>
      <c r="C188" s="25"/>
      <c r="D188" s="25"/>
      <c r="E188" s="25"/>
      <c r="F188" s="25"/>
      <c r="G188" s="25"/>
      <c r="H188" s="25"/>
      <c r="I188" s="25"/>
      <c r="J188" s="25"/>
      <c r="K188" s="25"/>
      <c r="L188" s="25"/>
      <c r="M188" s="25"/>
      <c r="N188" s="25"/>
      <c r="O188" s="25"/>
    </row>
    <row r="189" spans="1:15" x14ac:dyDescent="0.25">
      <c r="A189" s="25"/>
      <c r="B189" s="25"/>
      <c r="C189" s="25"/>
      <c r="D189" s="25"/>
      <c r="E189" s="25"/>
      <c r="F189" s="25"/>
      <c r="G189" s="25"/>
      <c r="H189" s="25"/>
      <c r="I189" s="25"/>
      <c r="J189" s="25"/>
      <c r="K189" s="25"/>
      <c r="L189" s="25"/>
      <c r="M189" s="25"/>
      <c r="N189" s="25"/>
      <c r="O189" s="25"/>
    </row>
    <row r="190" spans="1:15" x14ac:dyDescent="0.25">
      <c r="A190" s="25"/>
      <c r="B190" s="25"/>
      <c r="C190" s="25"/>
      <c r="D190" s="25"/>
      <c r="E190" s="25"/>
      <c r="F190" s="25"/>
      <c r="G190" s="25"/>
      <c r="H190" s="25"/>
      <c r="I190" s="25"/>
      <c r="J190" s="25"/>
      <c r="K190" s="25"/>
      <c r="L190" s="25"/>
      <c r="M190" s="25"/>
      <c r="N190" s="25"/>
      <c r="O190" s="25"/>
    </row>
    <row r="191" spans="1:15" x14ac:dyDescent="0.25">
      <c r="A191" s="25"/>
      <c r="B191" s="25"/>
      <c r="C191" s="25"/>
      <c r="D191" s="25"/>
      <c r="E191" s="25"/>
      <c r="F191" s="25"/>
      <c r="G191" s="25"/>
      <c r="H191" s="25"/>
      <c r="I191" s="25"/>
      <c r="J191" s="25"/>
      <c r="K191" s="25"/>
      <c r="L191" s="25"/>
      <c r="M191" s="25"/>
      <c r="N191" s="25"/>
      <c r="O191" s="25"/>
    </row>
    <row r="192" spans="1:15" x14ac:dyDescent="0.25">
      <c r="A192" s="25"/>
      <c r="B192" s="25"/>
      <c r="C192" s="25"/>
      <c r="D192" s="25"/>
      <c r="E192" s="25"/>
      <c r="F192" s="25"/>
      <c r="G192" s="25"/>
      <c r="H192" s="25"/>
      <c r="I192" s="25"/>
      <c r="J192" s="25"/>
      <c r="K192" s="25"/>
      <c r="L192" s="25"/>
      <c r="M192" s="25"/>
      <c r="N192" s="25"/>
      <c r="O192" s="25"/>
    </row>
    <row r="193" spans="1:15" x14ac:dyDescent="0.25">
      <c r="A193" s="25"/>
      <c r="B193" s="25"/>
      <c r="C193" s="25"/>
      <c r="D193" s="25"/>
      <c r="E193" s="25"/>
      <c r="F193" s="25"/>
      <c r="G193" s="25"/>
      <c r="H193" s="25"/>
      <c r="I193" s="25"/>
      <c r="J193" s="25"/>
      <c r="K193" s="25"/>
      <c r="L193" s="25"/>
      <c r="M193" s="25"/>
      <c r="N193" s="25"/>
      <c r="O193" s="25"/>
    </row>
    <row r="194" spans="1:15" x14ac:dyDescent="0.25">
      <c r="A194" s="25"/>
      <c r="B194" s="25"/>
      <c r="C194" s="25"/>
      <c r="D194" s="25"/>
      <c r="E194" s="25"/>
      <c r="F194" s="25"/>
      <c r="G194" s="25"/>
      <c r="H194" s="25"/>
      <c r="I194" s="25"/>
      <c r="J194" s="25"/>
      <c r="K194" s="25"/>
      <c r="L194" s="25"/>
      <c r="M194" s="25"/>
      <c r="N194" s="25"/>
      <c r="O194" s="25"/>
    </row>
    <row r="195" spans="1:15" x14ac:dyDescent="0.25">
      <c r="A195" s="25"/>
      <c r="B195" s="25"/>
      <c r="C195" s="25"/>
      <c r="D195" s="25"/>
      <c r="E195" s="25"/>
      <c r="F195" s="25"/>
      <c r="G195" s="25"/>
      <c r="H195" s="25"/>
      <c r="I195" s="25"/>
      <c r="J195" s="25"/>
      <c r="K195" s="25"/>
      <c r="L195" s="25"/>
      <c r="M195" s="25"/>
      <c r="N195" s="25"/>
      <c r="O195" s="25"/>
    </row>
    <row r="196" spans="1:15" x14ac:dyDescent="0.25">
      <c r="A196" s="25"/>
      <c r="B196" s="25"/>
      <c r="C196" s="25"/>
      <c r="D196" s="25"/>
      <c r="E196" s="25"/>
      <c r="F196" s="25"/>
      <c r="G196" s="25"/>
      <c r="H196" s="25"/>
      <c r="I196" s="25"/>
      <c r="J196" s="25"/>
      <c r="K196" s="25"/>
      <c r="L196" s="25"/>
      <c r="M196" s="25"/>
      <c r="N196" s="25"/>
      <c r="O196" s="25"/>
    </row>
    <row r="197" spans="1:15" x14ac:dyDescent="0.25">
      <c r="A197" s="25"/>
      <c r="B197" s="25"/>
      <c r="C197" s="25"/>
      <c r="D197" s="25"/>
      <c r="E197" s="25"/>
      <c r="F197" s="25"/>
      <c r="G197" s="25"/>
      <c r="H197" s="25"/>
      <c r="I197" s="25"/>
      <c r="J197" s="25"/>
      <c r="K197" s="25"/>
      <c r="L197" s="25"/>
      <c r="M197" s="25"/>
      <c r="N197" s="25"/>
      <c r="O197" s="25"/>
    </row>
    <row r="198" spans="1:15" x14ac:dyDescent="0.25">
      <c r="A198" s="25"/>
      <c r="B198" s="25"/>
      <c r="C198" s="25"/>
      <c r="D198" s="25"/>
      <c r="E198" s="25"/>
      <c r="F198" s="25"/>
      <c r="G198" s="25"/>
      <c r="H198" s="25"/>
      <c r="I198" s="25"/>
      <c r="J198" s="25"/>
      <c r="K198" s="25"/>
      <c r="L198" s="25"/>
      <c r="M198" s="25"/>
      <c r="N198" s="25"/>
      <c r="O198" s="25"/>
    </row>
    <row r="199" spans="1:15" x14ac:dyDescent="0.25">
      <c r="A199" s="25"/>
      <c r="B199" s="25"/>
      <c r="C199" s="25"/>
      <c r="D199" s="25"/>
      <c r="E199" s="25"/>
      <c r="F199" s="25"/>
      <c r="G199" s="25"/>
      <c r="H199" s="25"/>
      <c r="I199" s="25"/>
      <c r="J199" s="25"/>
      <c r="K199" s="25"/>
      <c r="L199" s="25"/>
      <c r="M199" s="25"/>
      <c r="N199" s="25"/>
      <c r="O199" s="25"/>
    </row>
    <row r="200" spans="1:15" x14ac:dyDescent="0.25">
      <c r="A200" s="25"/>
      <c r="B200" s="25"/>
      <c r="C200" s="25"/>
      <c r="D200" s="25"/>
      <c r="E200" s="25"/>
      <c r="F200" s="25"/>
      <c r="G200" s="25"/>
      <c r="H200" s="25"/>
      <c r="I200" s="25"/>
      <c r="J200" s="25"/>
      <c r="K200" s="25"/>
      <c r="L200" s="25"/>
      <c r="M200" s="25"/>
      <c r="N200" s="25"/>
      <c r="O200" s="25"/>
    </row>
    <row r="201" spans="1:15" x14ac:dyDescent="0.25">
      <c r="A201" s="25"/>
      <c r="B201" s="25"/>
      <c r="C201" s="25"/>
      <c r="D201" s="25"/>
      <c r="E201" s="25"/>
      <c r="F201" s="25"/>
      <c r="G201" s="25"/>
      <c r="H201" s="25"/>
      <c r="I201" s="25"/>
      <c r="J201" s="25"/>
      <c r="K201" s="25"/>
      <c r="L201" s="25"/>
      <c r="M201" s="25"/>
      <c r="N201" s="25"/>
      <c r="O201" s="25"/>
    </row>
    <row r="202" spans="1:15" x14ac:dyDescent="0.25">
      <c r="A202" s="25"/>
      <c r="B202" s="25"/>
      <c r="C202" s="25"/>
      <c r="D202" s="25"/>
      <c r="E202" s="25"/>
      <c r="F202" s="25"/>
      <c r="G202" s="25"/>
      <c r="H202" s="25"/>
      <c r="I202" s="25"/>
      <c r="J202" s="25"/>
      <c r="K202" s="25"/>
      <c r="L202" s="25"/>
      <c r="M202" s="25"/>
      <c r="N202" s="25"/>
      <c r="O202" s="25"/>
    </row>
    <row r="203" spans="1:15" x14ac:dyDescent="0.25">
      <c r="A203" s="25"/>
      <c r="B203" s="25"/>
      <c r="C203" s="25"/>
      <c r="D203" s="25"/>
      <c r="E203" s="25"/>
      <c r="F203" s="25"/>
      <c r="G203" s="25"/>
      <c r="H203" s="25"/>
      <c r="I203" s="25"/>
      <c r="J203" s="25"/>
      <c r="K203" s="25"/>
      <c r="L203" s="25"/>
      <c r="M203" s="25"/>
      <c r="N203" s="25"/>
      <c r="O203" s="25"/>
    </row>
    <row r="204" spans="1:15" x14ac:dyDescent="0.25">
      <c r="A204" s="25"/>
      <c r="B204" s="25"/>
      <c r="C204" s="25"/>
      <c r="D204" s="25"/>
      <c r="E204" s="25"/>
      <c r="F204" s="25"/>
      <c r="G204" s="25"/>
      <c r="H204" s="25"/>
      <c r="I204" s="25"/>
      <c r="J204" s="25"/>
      <c r="K204" s="25"/>
      <c r="L204" s="25"/>
      <c r="M204" s="25"/>
      <c r="N204" s="25"/>
      <c r="O204" s="25"/>
    </row>
    <row r="205" spans="1:15" x14ac:dyDescent="0.25">
      <c r="A205" s="25"/>
      <c r="B205" s="25"/>
      <c r="C205" s="25"/>
      <c r="D205" s="25"/>
      <c r="E205" s="25"/>
      <c r="F205" s="25"/>
      <c r="G205" s="25"/>
      <c r="H205" s="25"/>
      <c r="I205" s="25"/>
      <c r="J205" s="25"/>
      <c r="K205" s="25"/>
      <c r="L205" s="25"/>
      <c r="M205" s="25"/>
      <c r="N205" s="25"/>
      <c r="O205" s="25"/>
    </row>
    <row r="206" spans="1:15" x14ac:dyDescent="0.25">
      <c r="A206" s="25"/>
      <c r="B206" s="25"/>
      <c r="C206" s="25"/>
      <c r="D206" s="25"/>
      <c r="E206" s="25"/>
      <c r="F206" s="25"/>
      <c r="G206" s="25"/>
      <c r="H206" s="25"/>
      <c r="I206" s="25"/>
      <c r="J206" s="25"/>
      <c r="K206" s="25"/>
      <c r="L206" s="25"/>
      <c r="M206" s="25"/>
      <c r="N206" s="25"/>
      <c r="O206" s="25"/>
    </row>
    <row r="207" spans="1:15" x14ac:dyDescent="0.25">
      <c r="A207" s="25"/>
      <c r="B207" s="25"/>
      <c r="C207" s="25"/>
      <c r="D207" s="25"/>
      <c r="E207" s="25"/>
      <c r="F207" s="25"/>
      <c r="G207" s="25"/>
      <c r="H207" s="25"/>
      <c r="I207" s="25"/>
      <c r="J207" s="25"/>
      <c r="K207" s="25"/>
      <c r="L207" s="25"/>
      <c r="M207" s="25"/>
      <c r="N207" s="25"/>
      <c r="O207" s="25"/>
    </row>
    <row r="208" spans="1:15" x14ac:dyDescent="0.25">
      <c r="A208" s="25"/>
      <c r="B208" s="25"/>
      <c r="C208" s="25"/>
      <c r="D208" s="25"/>
      <c r="E208" s="25"/>
      <c r="F208" s="25"/>
      <c r="G208" s="25"/>
      <c r="H208" s="25"/>
      <c r="I208" s="25"/>
      <c r="J208" s="25"/>
      <c r="K208" s="25"/>
      <c r="L208" s="25"/>
      <c r="M208" s="25"/>
      <c r="N208" s="25"/>
      <c r="O208" s="25"/>
    </row>
    <row r="209" spans="1:15" x14ac:dyDescent="0.25">
      <c r="A209" s="25"/>
      <c r="B209" s="25"/>
      <c r="C209" s="25"/>
      <c r="D209" s="25"/>
      <c r="E209" s="25"/>
      <c r="F209" s="25"/>
      <c r="G209" s="25"/>
      <c r="H209" s="25"/>
      <c r="I209" s="25"/>
      <c r="J209" s="25"/>
      <c r="K209" s="25"/>
      <c r="L209" s="25"/>
      <c r="M209" s="25"/>
      <c r="N209" s="25"/>
      <c r="O209" s="25"/>
    </row>
    <row r="210" spans="1:15" x14ac:dyDescent="0.25">
      <c r="A210" s="25"/>
      <c r="B210" s="25"/>
      <c r="C210" s="25"/>
      <c r="D210" s="25"/>
      <c r="E210" s="25"/>
      <c r="F210" s="25"/>
      <c r="G210" s="25"/>
      <c r="H210" s="25"/>
      <c r="I210" s="25"/>
      <c r="J210" s="25"/>
      <c r="K210" s="25"/>
      <c r="L210" s="25"/>
      <c r="M210" s="25"/>
      <c r="N210" s="25"/>
      <c r="O210" s="25"/>
    </row>
    <row r="211" spans="1:15" x14ac:dyDescent="0.25">
      <c r="A211" s="25"/>
      <c r="B211" s="25"/>
      <c r="C211" s="25"/>
      <c r="D211" s="25"/>
      <c r="E211" s="25"/>
      <c r="F211" s="25"/>
      <c r="G211" s="25"/>
      <c r="H211" s="25"/>
      <c r="I211" s="25"/>
      <c r="J211" s="25"/>
      <c r="K211" s="25"/>
      <c r="L211" s="25"/>
      <c r="M211" s="25"/>
      <c r="N211" s="25"/>
      <c r="O211" s="25"/>
    </row>
    <row r="212" spans="1:15" x14ac:dyDescent="0.25">
      <c r="A212" s="25"/>
      <c r="B212" s="25"/>
      <c r="C212" s="25"/>
      <c r="D212" s="25"/>
      <c r="E212" s="25"/>
      <c r="F212" s="25"/>
      <c r="G212" s="25"/>
      <c r="H212" s="25"/>
      <c r="I212" s="25"/>
      <c r="J212" s="25"/>
      <c r="K212" s="25"/>
      <c r="L212" s="25"/>
      <c r="M212" s="25"/>
      <c r="N212" s="25"/>
      <c r="O212" s="25"/>
    </row>
    <row r="213" spans="1:15" x14ac:dyDescent="0.25">
      <c r="A213" s="25"/>
      <c r="B213" s="25"/>
      <c r="C213" s="25"/>
      <c r="D213" s="25"/>
      <c r="E213" s="25"/>
      <c r="F213" s="25"/>
      <c r="G213" s="25"/>
      <c r="H213" s="25"/>
      <c r="I213" s="25"/>
      <c r="J213" s="25"/>
      <c r="K213" s="25"/>
      <c r="L213" s="25"/>
      <c r="M213" s="25"/>
      <c r="N213" s="25"/>
      <c r="O213" s="25"/>
    </row>
    <row r="214" spans="1:15" x14ac:dyDescent="0.25">
      <c r="A214" s="25"/>
      <c r="B214" s="25"/>
      <c r="C214" s="25"/>
      <c r="D214" s="25"/>
      <c r="E214" s="25"/>
      <c r="F214" s="25"/>
      <c r="G214" s="25"/>
      <c r="H214" s="25"/>
      <c r="I214" s="25"/>
      <c r="J214" s="25"/>
      <c r="K214" s="25"/>
      <c r="L214" s="25"/>
      <c r="M214" s="25"/>
      <c r="N214" s="25"/>
      <c r="O214" s="25"/>
    </row>
    <row r="215" spans="1:15" x14ac:dyDescent="0.25">
      <c r="A215" s="25"/>
      <c r="B215" s="25"/>
      <c r="C215" s="25"/>
      <c r="D215" s="25"/>
      <c r="E215" s="25"/>
      <c r="F215" s="25"/>
      <c r="G215" s="25"/>
      <c r="H215" s="25"/>
      <c r="I215" s="25"/>
      <c r="J215" s="25"/>
      <c r="K215" s="25"/>
      <c r="L215" s="25"/>
      <c r="M215" s="25"/>
      <c r="N215" s="25"/>
      <c r="O215" s="25"/>
    </row>
    <row r="216" spans="1:15" x14ac:dyDescent="0.25">
      <c r="A216" s="25"/>
      <c r="B216" s="25"/>
      <c r="C216" s="25"/>
      <c r="D216" s="25"/>
      <c r="E216" s="25"/>
      <c r="F216" s="25"/>
      <c r="G216" s="25"/>
      <c r="H216" s="25"/>
      <c r="I216" s="25"/>
      <c r="J216" s="25"/>
      <c r="K216" s="25"/>
      <c r="L216" s="25"/>
      <c r="M216" s="25"/>
      <c r="N216" s="25"/>
      <c r="O216" s="25"/>
    </row>
    <row r="217" spans="1:15" x14ac:dyDescent="0.25">
      <c r="A217" s="25"/>
      <c r="B217" s="25"/>
      <c r="C217" s="25"/>
      <c r="D217" s="25"/>
      <c r="E217" s="25"/>
      <c r="F217" s="25"/>
      <c r="G217" s="25"/>
      <c r="H217" s="25"/>
      <c r="I217" s="25"/>
      <c r="J217" s="25"/>
      <c r="K217" s="25"/>
      <c r="L217" s="25"/>
      <c r="M217" s="25"/>
      <c r="N217" s="25"/>
      <c r="O217" s="25"/>
    </row>
    <row r="218" spans="1:15" x14ac:dyDescent="0.25">
      <c r="A218" s="25"/>
      <c r="B218" s="25"/>
      <c r="C218" s="25"/>
      <c r="D218" s="25"/>
      <c r="E218" s="25"/>
      <c r="F218" s="25"/>
      <c r="G218" s="25"/>
      <c r="H218" s="25"/>
      <c r="I218" s="25"/>
      <c r="J218" s="25"/>
      <c r="K218" s="25"/>
      <c r="L218" s="25"/>
      <c r="M218" s="25"/>
      <c r="N218" s="25"/>
      <c r="O218" s="25"/>
    </row>
    <row r="219" spans="1:15" x14ac:dyDescent="0.25">
      <c r="A219" s="25"/>
      <c r="B219" s="25"/>
      <c r="C219" s="25"/>
      <c r="D219" s="25"/>
      <c r="E219" s="25"/>
      <c r="F219" s="25"/>
      <c r="G219" s="25"/>
      <c r="H219" s="25"/>
      <c r="I219" s="25"/>
      <c r="J219" s="25"/>
      <c r="K219" s="25"/>
      <c r="L219" s="25"/>
      <c r="M219" s="25"/>
      <c r="N219" s="25"/>
      <c r="O219" s="25"/>
    </row>
    <row r="220" spans="1:15" x14ac:dyDescent="0.25">
      <c r="A220" s="25"/>
      <c r="B220" s="25"/>
      <c r="C220" s="25"/>
      <c r="D220" s="25"/>
      <c r="E220" s="25"/>
      <c r="F220" s="25"/>
      <c r="G220" s="25"/>
      <c r="H220" s="25"/>
      <c r="I220" s="25"/>
      <c r="J220" s="25"/>
      <c r="K220" s="25"/>
      <c r="L220" s="25"/>
      <c r="M220" s="25"/>
      <c r="N220" s="25"/>
      <c r="O220" s="25"/>
    </row>
    <row r="221" spans="1:15" x14ac:dyDescent="0.25">
      <c r="A221" s="25"/>
      <c r="B221" s="25"/>
      <c r="C221" s="25"/>
      <c r="D221" s="25"/>
      <c r="E221" s="25"/>
      <c r="F221" s="25"/>
      <c r="G221" s="25"/>
      <c r="H221" s="25"/>
      <c r="I221" s="25"/>
      <c r="J221" s="25"/>
      <c r="K221" s="25"/>
      <c r="L221" s="25"/>
      <c r="M221" s="25"/>
      <c r="N221" s="25"/>
      <c r="O221" s="25"/>
    </row>
    <row r="222" spans="1:15" x14ac:dyDescent="0.25">
      <c r="A222" s="25"/>
      <c r="B222" s="25"/>
      <c r="C222" s="25"/>
      <c r="D222" s="25"/>
      <c r="E222" s="25"/>
      <c r="F222" s="25"/>
      <c r="G222" s="25"/>
      <c r="H222" s="25"/>
      <c r="I222" s="25"/>
      <c r="J222" s="25"/>
      <c r="K222" s="25"/>
      <c r="L222" s="25"/>
      <c r="M222" s="25"/>
      <c r="N222" s="25"/>
      <c r="O222" s="25"/>
    </row>
    <row r="223" spans="1:15" x14ac:dyDescent="0.25">
      <c r="A223" s="25"/>
      <c r="B223" s="25"/>
      <c r="C223" s="25"/>
      <c r="D223" s="25"/>
      <c r="E223" s="25"/>
      <c r="F223" s="25"/>
      <c r="G223" s="25"/>
      <c r="H223" s="25"/>
      <c r="I223" s="25"/>
      <c r="J223" s="25"/>
      <c r="K223" s="25"/>
      <c r="L223" s="25"/>
      <c r="M223" s="25"/>
      <c r="N223" s="25"/>
      <c r="O223" s="25"/>
    </row>
    <row r="224" spans="1:15" x14ac:dyDescent="0.25">
      <c r="A224" s="25"/>
      <c r="B224" s="25"/>
      <c r="C224" s="25"/>
      <c r="D224" s="25"/>
      <c r="E224" s="25"/>
      <c r="F224" s="25"/>
      <c r="G224" s="25"/>
      <c r="H224" s="25"/>
      <c r="I224" s="25"/>
      <c r="J224" s="25"/>
      <c r="K224" s="25"/>
      <c r="L224" s="25"/>
      <c r="M224" s="25"/>
      <c r="N224" s="25"/>
      <c r="O224" s="25"/>
    </row>
    <row r="225" spans="1:15" x14ac:dyDescent="0.25">
      <c r="A225" s="25"/>
      <c r="B225" s="25"/>
      <c r="C225" s="25"/>
      <c r="D225" s="25"/>
      <c r="E225" s="25"/>
      <c r="F225" s="25"/>
      <c r="G225" s="25"/>
      <c r="H225" s="25"/>
      <c r="I225" s="25"/>
      <c r="J225" s="25"/>
      <c r="K225" s="25"/>
      <c r="L225" s="25"/>
      <c r="M225" s="25"/>
      <c r="N225" s="25"/>
      <c r="O225" s="25"/>
    </row>
    <row r="226" spans="1:15" x14ac:dyDescent="0.25">
      <c r="A226" s="25"/>
      <c r="B226" s="25"/>
      <c r="C226" s="25"/>
      <c r="D226" s="25"/>
      <c r="E226" s="25"/>
      <c r="F226" s="25"/>
      <c r="G226" s="25"/>
      <c r="H226" s="25"/>
      <c r="I226" s="25"/>
      <c r="J226" s="25"/>
      <c r="K226" s="25"/>
      <c r="L226" s="25"/>
      <c r="M226" s="25"/>
      <c r="N226" s="25"/>
      <c r="O226" s="25"/>
    </row>
    <row r="227" spans="1:15" x14ac:dyDescent="0.25">
      <c r="A227" s="25"/>
      <c r="B227" s="25"/>
      <c r="C227" s="25"/>
      <c r="D227" s="25"/>
      <c r="E227" s="25"/>
      <c r="F227" s="25"/>
      <c r="G227" s="25"/>
      <c r="H227" s="25"/>
      <c r="I227" s="25"/>
      <c r="J227" s="25"/>
      <c r="K227" s="25"/>
      <c r="L227" s="25"/>
      <c r="M227" s="25"/>
      <c r="N227" s="25"/>
      <c r="O227" s="25"/>
    </row>
    <row r="228" spans="1:15" x14ac:dyDescent="0.25">
      <c r="A228" s="25"/>
      <c r="B228" s="25"/>
      <c r="C228" s="25"/>
      <c r="D228" s="25"/>
      <c r="E228" s="25"/>
      <c r="F228" s="25"/>
      <c r="G228" s="25"/>
      <c r="H228" s="25"/>
      <c r="I228" s="25"/>
      <c r="J228" s="25"/>
      <c r="K228" s="25"/>
      <c r="L228" s="25"/>
      <c r="M228" s="25"/>
      <c r="N228" s="25"/>
      <c r="O228" s="25"/>
    </row>
    <row r="229" spans="1:15" x14ac:dyDescent="0.25">
      <c r="A229" s="25"/>
      <c r="B229" s="25"/>
      <c r="C229" s="25"/>
      <c r="D229" s="25"/>
      <c r="E229" s="25"/>
      <c r="F229" s="25"/>
      <c r="G229" s="25"/>
      <c r="H229" s="25"/>
      <c r="I229" s="25"/>
      <c r="J229" s="25"/>
      <c r="K229" s="25"/>
      <c r="L229" s="25"/>
      <c r="M229" s="25"/>
      <c r="N229" s="25"/>
      <c r="O229" s="25"/>
    </row>
    <row r="230" spans="1:15" x14ac:dyDescent="0.25">
      <c r="A230" s="25"/>
      <c r="B230" s="25"/>
      <c r="C230" s="25"/>
      <c r="D230" s="25"/>
      <c r="E230" s="25"/>
      <c r="F230" s="25"/>
      <c r="G230" s="25"/>
      <c r="H230" s="25"/>
      <c r="I230" s="25"/>
      <c r="J230" s="25"/>
      <c r="K230" s="25"/>
      <c r="L230" s="25"/>
      <c r="M230" s="25"/>
      <c r="N230" s="25"/>
      <c r="O230" s="25"/>
    </row>
    <row r="231" spans="1:15" x14ac:dyDescent="0.25">
      <c r="A231" s="25"/>
      <c r="B231" s="25"/>
      <c r="C231" s="25"/>
      <c r="D231" s="25"/>
      <c r="E231" s="25"/>
      <c r="F231" s="25"/>
      <c r="G231" s="25"/>
      <c r="H231" s="25"/>
      <c r="I231" s="25"/>
      <c r="J231" s="25"/>
      <c r="K231" s="25"/>
      <c r="L231" s="25"/>
      <c r="M231" s="25"/>
      <c r="N231" s="25"/>
      <c r="O231" s="25"/>
    </row>
    <row r="232" spans="1:15" x14ac:dyDescent="0.25">
      <c r="A232" s="25"/>
      <c r="B232" s="25"/>
      <c r="C232" s="25"/>
      <c r="D232" s="25"/>
      <c r="E232" s="25"/>
      <c r="F232" s="25"/>
      <c r="G232" s="25"/>
      <c r="H232" s="25"/>
      <c r="I232" s="25"/>
      <c r="J232" s="25"/>
      <c r="K232" s="25"/>
      <c r="L232" s="25"/>
      <c r="M232" s="25"/>
      <c r="N232" s="25"/>
      <c r="O232" s="25"/>
    </row>
    <row r="233" spans="1:15" x14ac:dyDescent="0.25">
      <c r="A233" s="25"/>
      <c r="B233" s="25"/>
      <c r="C233" s="25"/>
      <c r="D233" s="25"/>
      <c r="E233" s="25"/>
      <c r="F233" s="25"/>
      <c r="G233" s="25"/>
      <c r="H233" s="25"/>
      <c r="I233" s="25"/>
      <c r="J233" s="25"/>
      <c r="K233" s="25"/>
      <c r="L233" s="25"/>
      <c r="M233" s="25"/>
      <c r="N233" s="25"/>
      <c r="O233" s="25"/>
    </row>
    <row r="234" spans="1:15" x14ac:dyDescent="0.25">
      <c r="A234" s="25"/>
      <c r="B234" s="25"/>
      <c r="C234" s="25"/>
      <c r="D234" s="25"/>
      <c r="E234" s="25"/>
      <c r="F234" s="25"/>
      <c r="G234" s="25"/>
      <c r="H234" s="25"/>
      <c r="I234" s="25"/>
      <c r="J234" s="25"/>
      <c r="K234" s="25"/>
      <c r="L234" s="25"/>
      <c r="M234" s="25"/>
      <c r="N234" s="25"/>
      <c r="O234" s="25"/>
    </row>
    <row r="235" spans="1:15" x14ac:dyDescent="0.25">
      <c r="A235" s="25"/>
      <c r="B235" s="25"/>
      <c r="C235" s="25"/>
      <c r="D235" s="25"/>
      <c r="E235" s="25"/>
      <c r="F235" s="25"/>
      <c r="G235" s="25"/>
      <c r="H235" s="25"/>
      <c r="I235" s="25"/>
      <c r="J235" s="25"/>
      <c r="K235" s="25"/>
      <c r="L235" s="25"/>
      <c r="M235" s="25"/>
      <c r="N235" s="25"/>
      <c r="O235" s="25"/>
    </row>
    <row r="236" spans="1:15" x14ac:dyDescent="0.25">
      <c r="A236" s="25"/>
      <c r="B236" s="25"/>
      <c r="C236" s="25"/>
      <c r="D236" s="25"/>
      <c r="E236" s="25"/>
      <c r="F236" s="25"/>
      <c r="G236" s="25"/>
      <c r="H236" s="25"/>
      <c r="I236" s="25"/>
      <c r="J236" s="25"/>
      <c r="K236" s="25"/>
      <c r="L236" s="25"/>
      <c r="M236" s="25"/>
      <c r="N236" s="25"/>
      <c r="O236" s="25"/>
    </row>
    <row r="237" spans="1:15" x14ac:dyDescent="0.25">
      <c r="A237" s="25"/>
      <c r="B237" s="25"/>
      <c r="C237" s="25"/>
      <c r="D237" s="25"/>
      <c r="E237" s="25"/>
      <c r="F237" s="25"/>
      <c r="G237" s="25"/>
      <c r="H237" s="25"/>
      <c r="I237" s="25"/>
      <c r="J237" s="25"/>
      <c r="K237" s="25"/>
      <c r="L237" s="25"/>
      <c r="M237" s="25"/>
      <c r="N237" s="25"/>
      <c r="O237" s="25"/>
    </row>
    <row r="238" spans="1:15" x14ac:dyDescent="0.25">
      <c r="A238" s="25"/>
      <c r="B238" s="25"/>
      <c r="C238" s="25"/>
      <c r="D238" s="25"/>
      <c r="E238" s="25"/>
      <c r="F238" s="25"/>
      <c r="G238" s="25"/>
      <c r="H238" s="25"/>
      <c r="I238" s="25"/>
      <c r="J238" s="25"/>
      <c r="K238" s="25"/>
      <c r="L238" s="25"/>
      <c r="M238" s="25"/>
      <c r="N238" s="25"/>
      <c r="O238" s="25"/>
    </row>
    <row r="239" spans="1:15" x14ac:dyDescent="0.25">
      <c r="A239" s="25"/>
      <c r="B239" s="25"/>
      <c r="C239" s="25"/>
      <c r="D239" s="25"/>
      <c r="E239" s="25"/>
      <c r="F239" s="25"/>
      <c r="G239" s="25"/>
      <c r="H239" s="25"/>
      <c r="I239" s="25"/>
      <c r="J239" s="25"/>
      <c r="K239" s="25"/>
      <c r="L239" s="25"/>
      <c r="M239" s="25"/>
      <c r="N239" s="25"/>
      <c r="O239" s="25"/>
    </row>
    <row r="240" spans="1:15" x14ac:dyDescent="0.25">
      <c r="A240" s="25"/>
      <c r="B240" s="25"/>
      <c r="C240" s="25"/>
      <c r="D240" s="25"/>
      <c r="E240" s="25"/>
      <c r="F240" s="25"/>
      <c r="G240" s="25"/>
      <c r="H240" s="25"/>
      <c r="I240" s="25"/>
      <c r="J240" s="25"/>
      <c r="K240" s="25"/>
      <c r="L240" s="25"/>
      <c r="M240" s="25"/>
      <c r="N240" s="25"/>
      <c r="O240" s="25"/>
    </row>
    <row r="241" spans="1:15" x14ac:dyDescent="0.25">
      <c r="A241" s="25"/>
      <c r="B241" s="25"/>
      <c r="C241" s="25"/>
      <c r="D241" s="25"/>
      <c r="E241" s="25"/>
      <c r="F241" s="25"/>
      <c r="G241" s="25"/>
      <c r="H241" s="25"/>
      <c r="I241" s="25"/>
      <c r="J241" s="25"/>
      <c r="K241" s="25"/>
      <c r="L241" s="25"/>
      <c r="M241" s="25"/>
      <c r="N241" s="25"/>
      <c r="O241" s="25"/>
    </row>
    <row r="242" spans="1:15" x14ac:dyDescent="0.25">
      <c r="A242" s="25"/>
      <c r="B242" s="25"/>
      <c r="C242" s="25"/>
      <c r="D242" s="25"/>
      <c r="E242" s="25"/>
      <c r="F242" s="25"/>
      <c r="G242" s="25"/>
      <c r="H242" s="25"/>
      <c r="I242" s="25"/>
      <c r="J242" s="25"/>
      <c r="K242" s="25"/>
      <c r="L242" s="25"/>
      <c r="M242" s="25"/>
      <c r="N242" s="25"/>
      <c r="O242" s="25"/>
    </row>
    <row r="243" spans="1:15" x14ac:dyDescent="0.25">
      <c r="A243" s="25"/>
      <c r="B243" s="25"/>
      <c r="C243" s="25"/>
      <c r="D243" s="25"/>
      <c r="E243" s="25"/>
      <c r="F243" s="25"/>
      <c r="G243" s="25"/>
      <c r="H243" s="25"/>
      <c r="I243" s="25"/>
      <c r="J243" s="25"/>
      <c r="K243" s="25"/>
      <c r="L243" s="25"/>
      <c r="M243" s="25"/>
      <c r="N243" s="25"/>
      <c r="O243" s="25"/>
    </row>
    <row r="244" spans="1:15" x14ac:dyDescent="0.25">
      <c r="A244" s="25"/>
      <c r="B244" s="25"/>
      <c r="C244" s="25"/>
      <c r="D244" s="25"/>
      <c r="E244" s="25"/>
      <c r="F244" s="25"/>
      <c r="G244" s="25"/>
      <c r="H244" s="25"/>
      <c r="I244" s="25"/>
      <c r="J244" s="25"/>
      <c r="K244" s="25"/>
      <c r="L244" s="25"/>
      <c r="M244" s="25"/>
      <c r="N244" s="25"/>
      <c r="O244" s="25"/>
    </row>
    <row r="245" spans="1:15" x14ac:dyDescent="0.25">
      <c r="A245" s="25"/>
      <c r="B245" s="25"/>
      <c r="C245" s="25"/>
      <c r="D245" s="25"/>
      <c r="E245" s="25"/>
      <c r="F245" s="25"/>
      <c r="G245" s="25"/>
      <c r="H245" s="25"/>
      <c r="I245" s="25"/>
      <c r="J245" s="25"/>
      <c r="K245" s="25"/>
      <c r="L245" s="25"/>
      <c r="M245" s="25"/>
      <c r="N245" s="25"/>
      <c r="O245" s="25"/>
    </row>
    <row r="246" spans="1:15" x14ac:dyDescent="0.25">
      <c r="A246" s="25"/>
      <c r="B246" s="25"/>
      <c r="C246" s="25"/>
      <c r="D246" s="25"/>
      <c r="E246" s="25"/>
      <c r="F246" s="25"/>
      <c r="G246" s="25"/>
      <c r="H246" s="25"/>
      <c r="I246" s="25"/>
      <c r="J246" s="25"/>
      <c r="K246" s="25"/>
      <c r="L246" s="25"/>
      <c r="M246" s="25"/>
      <c r="N246" s="25"/>
      <c r="O246" s="25"/>
    </row>
    <row r="247" spans="1:15" x14ac:dyDescent="0.25">
      <c r="A247" s="25"/>
      <c r="B247" s="25"/>
      <c r="C247" s="25"/>
      <c r="D247" s="25"/>
      <c r="E247" s="25"/>
      <c r="F247" s="25"/>
      <c r="G247" s="25"/>
      <c r="H247" s="25"/>
      <c r="I247" s="25"/>
      <c r="J247" s="25"/>
      <c r="K247" s="25"/>
      <c r="L247" s="25"/>
      <c r="M247" s="25"/>
      <c r="N247" s="25"/>
      <c r="O247" s="25"/>
    </row>
    <row r="248" spans="1:15" x14ac:dyDescent="0.25">
      <c r="A248" s="25"/>
      <c r="B248" s="25"/>
      <c r="C248" s="25"/>
      <c r="D248" s="25"/>
      <c r="E248" s="25"/>
      <c r="F248" s="25"/>
      <c r="G248" s="25"/>
      <c r="H248" s="25"/>
      <c r="I248" s="25"/>
      <c r="J248" s="25"/>
      <c r="K248" s="25"/>
      <c r="L248" s="25"/>
      <c r="M248" s="25"/>
      <c r="N248" s="25"/>
      <c r="O248" s="25"/>
    </row>
    <row r="249" spans="1:15" x14ac:dyDescent="0.25">
      <c r="A249" s="25"/>
      <c r="B249" s="25"/>
      <c r="C249" s="25"/>
      <c r="D249" s="25"/>
      <c r="E249" s="25"/>
      <c r="F249" s="25"/>
      <c r="G249" s="25"/>
      <c r="H249" s="25"/>
      <c r="I249" s="25"/>
      <c r="J249" s="25"/>
      <c r="K249" s="25"/>
      <c r="L249" s="25"/>
      <c r="M249" s="25"/>
      <c r="N249" s="25"/>
      <c r="O249" s="25"/>
    </row>
    <row r="250" spans="1:15" x14ac:dyDescent="0.25">
      <c r="A250" s="25"/>
      <c r="B250" s="25"/>
      <c r="C250" s="25"/>
      <c r="D250" s="25"/>
      <c r="E250" s="25"/>
      <c r="F250" s="25"/>
      <c r="G250" s="25"/>
      <c r="H250" s="25"/>
      <c r="I250" s="25"/>
      <c r="J250" s="25"/>
      <c r="K250" s="25"/>
      <c r="L250" s="25"/>
      <c r="M250" s="25"/>
      <c r="N250" s="25"/>
      <c r="O250" s="25"/>
    </row>
    <row r="251" spans="1:15" x14ac:dyDescent="0.25">
      <c r="A251" s="25"/>
      <c r="B251" s="25"/>
      <c r="C251" s="25"/>
      <c r="D251" s="25"/>
      <c r="E251" s="25"/>
      <c r="F251" s="25"/>
      <c r="G251" s="25"/>
      <c r="H251" s="25"/>
      <c r="I251" s="25"/>
      <c r="J251" s="25"/>
      <c r="K251" s="25"/>
      <c r="L251" s="25"/>
      <c r="M251" s="25"/>
      <c r="N251" s="25"/>
      <c r="O251" s="25"/>
    </row>
    <row r="252" spans="1:15" x14ac:dyDescent="0.25">
      <c r="A252" s="25"/>
      <c r="B252" s="25"/>
      <c r="C252" s="25"/>
      <c r="D252" s="25"/>
      <c r="E252" s="25"/>
      <c r="F252" s="25"/>
      <c r="G252" s="25"/>
      <c r="H252" s="25"/>
      <c r="I252" s="25"/>
      <c r="J252" s="25"/>
      <c r="K252" s="25"/>
      <c r="L252" s="25"/>
      <c r="M252" s="25"/>
      <c r="N252" s="25"/>
      <c r="O252" s="25"/>
    </row>
    <row r="253" spans="1:15" x14ac:dyDescent="0.25">
      <c r="A253" s="25"/>
      <c r="B253" s="25"/>
      <c r="C253" s="25"/>
      <c r="D253" s="25"/>
      <c r="E253" s="25"/>
      <c r="F253" s="25"/>
      <c r="G253" s="25"/>
      <c r="H253" s="25"/>
      <c r="I253" s="25"/>
      <c r="J253" s="25"/>
      <c r="K253" s="25"/>
      <c r="L253" s="25"/>
      <c r="M253" s="25"/>
      <c r="N253" s="25"/>
      <c r="O253" s="25"/>
    </row>
    <row r="254" spans="1:15" x14ac:dyDescent="0.25">
      <c r="A254" s="25"/>
      <c r="B254" s="25"/>
      <c r="C254" s="25"/>
      <c r="D254" s="25"/>
      <c r="E254" s="25"/>
      <c r="F254" s="25"/>
      <c r="G254" s="25"/>
      <c r="H254" s="25"/>
      <c r="I254" s="25"/>
      <c r="J254" s="25"/>
      <c r="K254" s="25"/>
      <c r="L254" s="25"/>
      <c r="M254" s="25"/>
      <c r="N254" s="25"/>
      <c r="O254" s="25"/>
    </row>
    <row r="255" spans="1:15" x14ac:dyDescent="0.25">
      <c r="A255" s="25"/>
      <c r="B255" s="25"/>
      <c r="C255" s="25"/>
      <c r="D255" s="25"/>
      <c r="E255" s="25"/>
      <c r="F255" s="25"/>
      <c r="G255" s="25"/>
      <c r="H255" s="25"/>
      <c r="I255" s="25"/>
      <c r="J255" s="25"/>
      <c r="K255" s="25"/>
      <c r="L255" s="25"/>
      <c r="M255" s="25"/>
      <c r="N255" s="25"/>
      <c r="O255" s="25"/>
    </row>
    <row r="256" spans="1:15" x14ac:dyDescent="0.25">
      <c r="A256" s="25"/>
      <c r="B256" s="25"/>
      <c r="C256" s="25"/>
      <c r="D256" s="25"/>
      <c r="E256" s="25"/>
      <c r="F256" s="25"/>
      <c r="G256" s="25"/>
      <c r="H256" s="25"/>
      <c r="I256" s="25"/>
      <c r="J256" s="25"/>
      <c r="K256" s="25"/>
      <c r="L256" s="25"/>
      <c r="M256" s="25"/>
      <c r="N256" s="25"/>
      <c r="O256" s="25"/>
    </row>
    <row r="257" spans="1:15" x14ac:dyDescent="0.25">
      <c r="A257" s="25"/>
      <c r="B257" s="25"/>
      <c r="C257" s="25"/>
      <c r="D257" s="25"/>
      <c r="E257" s="25"/>
      <c r="F257" s="25"/>
      <c r="G257" s="25"/>
      <c r="H257" s="25"/>
      <c r="I257" s="25"/>
      <c r="J257" s="25"/>
      <c r="K257" s="25"/>
      <c r="L257" s="25"/>
      <c r="M257" s="25"/>
      <c r="N257" s="25"/>
      <c r="O257" s="25"/>
    </row>
    <row r="258" spans="1:15" x14ac:dyDescent="0.25">
      <c r="A258" s="25"/>
      <c r="B258" s="25"/>
      <c r="C258" s="25"/>
      <c r="D258" s="25"/>
      <c r="E258" s="25"/>
      <c r="F258" s="25"/>
      <c r="G258" s="25"/>
      <c r="H258" s="25"/>
      <c r="I258" s="25"/>
      <c r="J258" s="25"/>
      <c r="K258" s="25"/>
      <c r="L258" s="25"/>
      <c r="M258" s="25"/>
      <c r="N258" s="25"/>
      <c r="O258" s="25"/>
    </row>
    <row r="259" spans="1:15" x14ac:dyDescent="0.25">
      <c r="A259" s="25"/>
      <c r="B259" s="25"/>
      <c r="C259" s="25"/>
      <c r="D259" s="25"/>
      <c r="E259" s="25"/>
      <c r="F259" s="25"/>
      <c r="G259" s="25"/>
      <c r="H259" s="25"/>
      <c r="I259" s="25"/>
      <c r="J259" s="25"/>
      <c r="K259" s="25"/>
      <c r="L259" s="25"/>
      <c r="M259" s="25"/>
      <c r="N259" s="25"/>
      <c r="O259" s="25"/>
    </row>
    <row r="260" spans="1:15" x14ac:dyDescent="0.25">
      <c r="A260" s="25"/>
      <c r="B260" s="25"/>
      <c r="C260" s="25"/>
      <c r="D260" s="25"/>
      <c r="E260" s="25"/>
      <c r="F260" s="25"/>
      <c r="G260" s="25"/>
      <c r="H260" s="25"/>
      <c r="I260" s="25"/>
      <c r="J260" s="25"/>
      <c r="K260" s="25"/>
      <c r="L260" s="25"/>
      <c r="M260" s="25"/>
      <c r="N260" s="25"/>
      <c r="O260" s="25"/>
    </row>
    <row r="261" spans="1:15" x14ac:dyDescent="0.25">
      <c r="A261" s="25"/>
      <c r="B261" s="25"/>
      <c r="C261" s="25"/>
      <c r="D261" s="25"/>
      <c r="E261" s="25"/>
      <c r="F261" s="25"/>
      <c r="G261" s="25"/>
      <c r="H261" s="25"/>
      <c r="I261" s="25"/>
      <c r="J261" s="25"/>
      <c r="K261" s="25"/>
      <c r="L261" s="25"/>
      <c r="M261" s="25"/>
      <c r="N261" s="25"/>
      <c r="O261" s="25"/>
    </row>
    <row r="262" spans="1:15" x14ac:dyDescent="0.25">
      <c r="A262" s="25"/>
      <c r="B262" s="25"/>
      <c r="C262" s="25"/>
      <c r="D262" s="25"/>
      <c r="E262" s="25"/>
      <c r="F262" s="25"/>
      <c r="G262" s="25"/>
      <c r="H262" s="25"/>
      <c r="I262" s="25"/>
      <c r="J262" s="25"/>
      <c r="K262" s="25"/>
      <c r="L262" s="25"/>
      <c r="M262" s="25"/>
      <c r="N262" s="25"/>
      <c r="O262" s="25"/>
    </row>
    <row r="263" spans="1:15" x14ac:dyDescent="0.25">
      <c r="A263" s="25"/>
      <c r="B263" s="25"/>
      <c r="C263" s="25"/>
      <c r="D263" s="25"/>
      <c r="E263" s="25"/>
      <c r="F263" s="25"/>
      <c r="G263" s="25"/>
      <c r="H263" s="25"/>
      <c r="I263" s="25"/>
      <c r="J263" s="25"/>
      <c r="K263" s="25"/>
      <c r="L263" s="25"/>
      <c r="M263" s="25"/>
      <c r="N263" s="25"/>
      <c r="O263" s="25"/>
    </row>
    <row r="264" spans="1:15" x14ac:dyDescent="0.25">
      <c r="A264" s="25"/>
      <c r="B264" s="25"/>
      <c r="C264" s="25"/>
      <c r="D264" s="25"/>
      <c r="E264" s="25"/>
      <c r="F264" s="25"/>
      <c r="G264" s="25"/>
      <c r="H264" s="25"/>
      <c r="I264" s="25"/>
      <c r="J264" s="25"/>
      <c r="K264" s="25"/>
      <c r="L264" s="25"/>
      <c r="M264" s="25"/>
      <c r="N264" s="25"/>
      <c r="O264" s="25"/>
    </row>
    <row r="265" spans="1:15" x14ac:dyDescent="0.25">
      <c r="A265" s="25"/>
      <c r="B265" s="25"/>
      <c r="C265" s="25"/>
      <c r="D265" s="25"/>
      <c r="E265" s="25"/>
      <c r="F265" s="25"/>
      <c r="G265" s="25"/>
      <c r="H265" s="25"/>
      <c r="I265" s="25"/>
      <c r="J265" s="25"/>
      <c r="K265" s="25"/>
      <c r="L265" s="25"/>
      <c r="M265" s="25"/>
      <c r="N265" s="25"/>
      <c r="O265" s="25"/>
    </row>
    <row r="266" spans="1:15" x14ac:dyDescent="0.25">
      <c r="A266" s="25"/>
      <c r="B266" s="25"/>
      <c r="C266" s="25"/>
      <c r="D266" s="25"/>
      <c r="E266" s="25"/>
      <c r="F266" s="25"/>
      <c r="G266" s="25"/>
      <c r="H266" s="25"/>
      <c r="I266" s="25"/>
      <c r="J266" s="25"/>
      <c r="K266" s="25"/>
      <c r="L266" s="25"/>
      <c r="M266" s="25"/>
      <c r="N266" s="25"/>
      <c r="O266" s="25"/>
    </row>
    <row r="267" spans="1:15" x14ac:dyDescent="0.25">
      <c r="A267" s="25"/>
      <c r="B267" s="25"/>
      <c r="C267" s="25"/>
      <c r="D267" s="25"/>
      <c r="E267" s="25"/>
      <c r="F267" s="25"/>
      <c r="G267" s="25"/>
      <c r="H267" s="25"/>
      <c r="I267" s="25"/>
      <c r="J267" s="25"/>
      <c r="K267" s="25"/>
      <c r="L267" s="25"/>
      <c r="M267" s="25"/>
      <c r="N267" s="25"/>
      <c r="O267" s="25"/>
    </row>
    <row r="268" spans="1:15" x14ac:dyDescent="0.25">
      <c r="A268" s="25"/>
      <c r="B268" s="25"/>
      <c r="C268" s="25"/>
      <c r="D268" s="25"/>
      <c r="E268" s="25"/>
      <c r="F268" s="25"/>
      <c r="G268" s="25"/>
      <c r="H268" s="25"/>
      <c r="I268" s="25"/>
      <c r="J268" s="25"/>
      <c r="K268" s="25"/>
      <c r="L268" s="25"/>
      <c r="M268" s="25"/>
      <c r="N268" s="25"/>
      <c r="O268" s="25"/>
    </row>
    <row r="269" spans="1:15" x14ac:dyDescent="0.25">
      <c r="A269" s="25"/>
      <c r="B269" s="25"/>
      <c r="C269" s="25"/>
      <c r="D269" s="25"/>
      <c r="E269" s="25"/>
      <c r="F269" s="25"/>
      <c r="G269" s="25"/>
      <c r="H269" s="25"/>
      <c r="I269" s="25"/>
      <c r="J269" s="25"/>
      <c r="K269" s="25"/>
      <c r="L269" s="25"/>
      <c r="M269" s="25"/>
      <c r="N269" s="25"/>
      <c r="O269" s="25"/>
    </row>
    <row r="270" spans="1:15" x14ac:dyDescent="0.25">
      <c r="A270" s="25"/>
      <c r="B270" s="25"/>
      <c r="C270" s="25"/>
      <c r="D270" s="25"/>
      <c r="E270" s="25"/>
      <c r="F270" s="25"/>
      <c r="G270" s="25"/>
      <c r="H270" s="25"/>
      <c r="I270" s="25"/>
      <c r="J270" s="25"/>
      <c r="K270" s="25"/>
      <c r="L270" s="25"/>
      <c r="M270" s="25"/>
      <c r="N270" s="25"/>
      <c r="O270" s="25"/>
    </row>
    <row r="271" spans="1:15" x14ac:dyDescent="0.25">
      <c r="A271" s="25"/>
      <c r="B271" s="25"/>
      <c r="C271" s="25"/>
      <c r="D271" s="25"/>
      <c r="E271" s="25"/>
      <c r="F271" s="25"/>
      <c r="G271" s="25"/>
      <c r="H271" s="25"/>
      <c r="I271" s="25"/>
      <c r="J271" s="25"/>
      <c r="K271" s="25"/>
      <c r="L271" s="25"/>
      <c r="M271" s="25"/>
      <c r="N271" s="25"/>
      <c r="O271" s="25"/>
    </row>
    <row r="272" spans="1:15" x14ac:dyDescent="0.25">
      <c r="A272" s="25"/>
      <c r="B272" s="25"/>
      <c r="C272" s="25"/>
      <c r="D272" s="25"/>
      <c r="E272" s="25"/>
      <c r="F272" s="25"/>
      <c r="G272" s="25"/>
      <c r="H272" s="25"/>
      <c r="I272" s="25"/>
      <c r="J272" s="25"/>
      <c r="K272" s="25"/>
      <c r="L272" s="25"/>
      <c r="M272" s="25"/>
      <c r="N272" s="25"/>
      <c r="O272" s="25"/>
    </row>
    <row r="273" spans="1:15" x14ac:dyDescent="0.25">
      <c r="A273" s="25"/>
      <c r="B273" s="25"/>
      <c r="C273" s="25"/>
      <c r="D273" s="25"/>
      <c r="E273" s="25"/>
      <c r="F273" s="25"/>
      <c r="G273" s="25"/>
      <c r="H273" s="25"/>
      <c r="I273" s="25"/>
      <c r="J273" s="25"/>
      <c r="K273" s="25"/>
      <c r="L273" s="25"/>
      <c r="M273" s="25"/>
      <c r="N273" s="25"/>
      <c r="O273" s="25"/>
    </row>
    <row r="274" spans="1:15" x14ac:dyDescent="0.25">
      <c r="A274" s="25"/>
      <c r="B274" s="25"/>
      <c r="C274" s="25"/>
      <c r="D274" s="25"/>
      <c r="E274" s="25"/>
      <c r="F274" s="25"/>
      <c r="G274" s="25"/>
      <c r="H274" s="25"/>
      <c r="I274" s="25"/>
      <c r="J274" s="25"/>
      <c r="K274" s="25"/>
      <c r="L274" s="25"/>
      <c r="M274" s="25"/>
      <c r="N274" s="25"/>
      <c r="O274" s="25"/>
    </row>
    <row r="275" spans="1:15" x14ac:dyDescent="0.25">
      <c r="A275" s="25"/>
      <c r="B275" s="25"/>
      <c r="C275" s="25"/>
      <c r="D275" s="25"/>
      <c r="E275" s="25"/>
      <c r="F275" s="25"/>
      <c r="G275" s="25"/>
      <c r="H275" s="25"/>
      <c r="I275" s="25"/>
      <c r="J275" s="25"/>
      <c r="K275" s="25"/>
      <c r="L275" s="25"/>
      <c r="M275" s="25"/>
      <c r="N275" s="25"/>
      <c r="O275" s="25"/>
    </row>
    <row r="276" spans="1:15" x14ac:dyDescent="0.25">
      <c r="A276" s="25"/>
      <c r="B276" s="25"/>
      <c r="C276" s="25"/>
      <c r="D276" s="25"/>
      <c r="E276" s="25"/>
      <c r="F276" s="25"/>
      <c r="G276" s="25"/>
      <c r="H276" s="25"/>
      <c r="I276" s="25"/>
      <c r="J276" s="25"/>
      <c r="K276" s="25"/>
      <c r="L276" s="25"/>
      <c r="M276" s="25"/>
      <c r="N276" s="25"/>
      <c r="O276" s="25"/>
    </row>
    <row r="277" spans="1:15" x14ac:dyDescent="0.25">
      <c r="A277" s="25"/>
      <c r="B277" s="25"/>
      <c r="C277" s="25"/>
      <c r="D277" s="25"/>
      <c r="E277" s="25"/>
      <c r="F277" s="25"/>
      <c r="G277" s="25"/>
      <c r="H277" s="25"/>
      <c r="I277" s="25"/>
      <c r="J277" s="25"/>
      <c r="K277" s="25"/>
      <c r="L277" s="25"/>
      <c r="M277" s="25"/>
      <c r="N277" s="25"/>
      <c r="O277" s="25"/>
    </row>
    <row r="278" spans="1:15" x14ac:dyDescent="0.25">
      <c r="A278" s="25"/>
      <c r="B278" s="25"/>
      <c r="C278" s="25"/>
      <c r="D278" s="25"/>
      <c r="E278" s="25"/>
      <c r="F278" s="25"/>
      <c r="G278" s="25"/>
      <c r="H278" s="25"/>
      <c r="I278" s="25"/>
      <c r="J278" s="25"/>
      <c r="K278" s="25"/>
      <c r="L278" s="25"/>
      <c r="M278" s="25"/>
      <c r="N278" s="25"/>
      <c r="O278" s="25"/>
    </row>
    <row r="279" spans="1:15" x14ac:dyDescent="0.25">
      <c r="A279" s="25"/>
      <c r="B279" s="25"/>
      <c r="C279" s="25"/>
      <c r="D279" s="25"/>
      <c r="E279" s="25"/>
      <c r="F279" s="25"/>
      <c r="G279" s="25"/>
      <c r="H279" s="25"/>
      <c r="I279" s="25"/>
      <c r="J279" s="25"/>
      <c r="K279" s="25"/>
      <c r="L279" s="25"/>
      <c r="M279" s="25"/>
      <c r="N279" s="25"/>
      <c r="O279" s="25"/>
    </row>
    <row r="280" spans="1:15" x14ac:dyDescent="0.25">
      <c r="A280" s="25"/>
      <c r="B280" s="25"/>
      <c r="C280" s="25"/>
      <c r="D280" s="25"/>
      <c r="E280" s="25"/>
      <c r="F280" s="25"/>
      <c r="G280" s="25"/>
      <c r="H280" s="25"/>
      <c r="I280" s="25"/>
      <c r="J280" s="25"/>
      <c r="K280" s="25"/>
      <c r="L280" s="25"/>
      <c r="M280" s="25"/>
      <c r="N280" s="25"/>
      <c r="O280" s="25"/>
    </row>
    <row r="281" spans="1:15" x14ac:dyDescent="0.25">
      <c r="A281" s="25"/>
      <c r="B281" s="25"/>
      <c r="C281" s="25"/>
      <c r="D281" s="25"/>
      <c r="E281" s="25"/>
      <c r="F281" s="25"/>
      <c r="G281" s="25"/>
      <c r="H281" s="25"/>
      <c r="I281" s="25"/>
      <c r="J281" s="25"/>
      <c r="K281" s="25"/>
      <c r="L281" s="25"/>
      <c r="M281" s="25"/>
      <c r="N281" s="25"/>
      <c r="O281" s="25"/>
    </row>
    <row r="282" spans="1:15" x14ac:dyDescent="0.25">
      <c r="A282" s="25"/>
      <c r="B282" s="25"/>
      <c r="C282" s="25"/>
      <c r="D282" s="25"/>
      <c r="E282" s="25"/>
      <c r="F282" s="25"/>
      <c r="G282" s="25"/>
      <c r="H282" s="25"/>
      <c r="I282" s="25"/>
      <c r="J282" s="25"/>
      <c r="K282" s="25"/>
      <c r="L282" s="25"/>
      <c r="M282" s="25"/>
      <c r="N282" s="25"/>
      <c r="O282" s="25"/>
    </row>
    <row r="283" spans="1:15" x14ac:dyDescent="0.25">
      <c r="A283" s="25"/>
      <c r="B283" s="25"/>
      <c r="C283" s="25"/>
      <c r="D283" s="25"/>
      <c r="E283" s="25"/>
      <c r="F283" s="25"/>
      <c r="G283" s="25"/>
      <c r="H283" s="25"/>
      <c r="I283" s="25"/>
      <c r="J283" s="25"/>
      <c r="K283" s="25"/>
      <c r="L283" s="25"/>
      <c r="M283" s="25"/>
      <c r="N283" s="25"/>
      <c r="O283" s="25"/>
    </row>
    <row r="284" spans="1:15" x14ac:dyDescent="0.25">
      <c r="A284" s="25"/>
      <c r="B284" s="25"/>
      <c r="C284" s="25"/>
      <c r="D284" s="25"/>
      <c r="E284" s="25"/>
      <c r="F284" s="25"/>
      <c r="G284" s="25"/>
      <c r="H284" s="25"/>
      <c r="I284" s="25"/>
      <c r="J284" s="25"/>
      <c r="K284" s="25"/>
      <c r="L284" s="25"/>
      <c r="M284" s="25"/>
      <c r="N284" s="25"/>
      <c r="O284" s="25"/>
    </row>
    <row r="285" spans="1:15" x14ac:dyDescent="0.25">
      <c r="A285" s="25"/>
      <c r="B285" s="25"/>
      <c r="C285" s="25"/>
      <c r="D285" s="25"/>
      <c r="E285" s="25"/>
      <c r="F285" s="25"/>
      <c r="G285" s="25"/>
      <c r="H285" s="25"/>
      <c r="I285" s="25"/>
      <c r="J285" s="25"/>
      <c r="K285" s="25"/>
      <c r="L285" s="25"/>
      <c r="M285" s="25"/>
      <c r="N285" s="25"/>
      <c r="O285" s="25"/>
    </row>
  </sheetData>
  <mergeCells count="8">
    <mergeCell ref="B84:F84"/>
    <mergeCell ref="B109:F109"/>
    <mergeCell ref="B136:D136"/>
    <mergeCell ref="B159:F159"/>
    <mergeCell ref="B4:K4"/>
    <mergeCell ref="B34:D34"/>
    <mergeCell ref="B59:F59"/>
    <mergeCell ref="B111:D111"/>
  </mergeCells>
  <phoneticPr fontId="2"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FC9D0-62A3-B244-93DD-F889D49F38D3}">
  <sheetPr>
    <tabColor rgb="FFF9C600"/>
  </sheetPr>
  <dimension ref="A1:AD192"/>
  <sheetViews>
    <sheetView topLeftCell="A163" zoomScaleNormal="100" workbookViewId="0"/>
  </sheetViews>
  <sheetFormatPr defaultColWidth="11.44140625" defaultRowHeight="13.2" x14ac:dyDescent="0.25"/>
  <cols>
    <col min="1" max="1" width="5.33203125" style="554" customWidth="1"/>
    <col min="3" max="3" width="16.77734375" customWidth="1"/>
    <col min="4" max="4" width="22.6640625" customWidth="1"/>
    <col min="5" max="5" width="12.109375" bestFit="1" customWidth="1"/>
    <col min="6" max="6" width="20.6640625" bestFit="1" customWidth="1"/>
    <col min="7" max="7" width="6.33203125" customWidth="1"/>
    <col min="9" max="9" width="6" customWidth="1"/>
    <col min="10" max="10" width="15.109375" customWidth="1"/>
    <col min="11" max="11" width="9.6640625" customWidth="1"/>
    <col min="12" max="12" width="20" customWidth="1"/>
    <col min="13" max="13" width="12.109375" customWidth="1"/>
    <col min="14" max="14" width="9.44140625" customWidth="1"/>
    <col min="15" max="15" width="8.6640625" customWidth="1"/>
    <col min="16" max="16" width="4.44140625" customWidth="1"/>
    <col min="17" max="17" width="15" customWidth="1"/>
    <col min="18" max="18" width="5.109375" customWidth="1"/>
    <col min="19" max="19" width="28.109375" customWidth="1"/>
  </cols>
  <sheetData>
    <row r="1" spans="1:21" s="554" customFormat="1" ht="22.8" x14ac:dyDescent="0.4">
      <c r="B1" s="562" t="s">
        <v>108</v>
      </c>
    </row>
    <row r="2" spans="1:21" ht="27" customHeight="1" x14ac:dyDescent="0.4">
      <c r="B2" s="852" t="s">
        <v>337</v>
      </c>
      <c r="C2" s="843"/>
      <c r="F2" s="91"/>
      <c r="G2" s="91"/>
      <c r="H2" s="91"/>
    </row>
    <row r="3" spans="1:21" ht="27" customHeight="1" x14ac:dyDescent="0.3">
      <c r="B3" s="233"/>
      <c r="C3" s="233"/>
    </row>
    <row r="4" spans="1:21" ht="40.049999999999997" customHeight="1" x14ac:dyDescent="0.3">
      <c r="B4" s="942" t="s">
        <v>236</v>
      </c>
      <c r="C4" s="942"/>
      <c r="D4" s="942"/>
      <c r="E4" s="942"/>
      <c r="F4" s="942"/>
      <c r="G4" s="942"/>
      <c r="H4" s="942"/>
      <c r="I4" s="942"/>
      <c r="J4" s="942"/>
      <c r="K4" s="942"/>
      <c r="L4" s="942"/>
    </row>
    <row r="5" spans="1:21" ht="27" customHeight="1" thickBot="1" x14ac:dyDescent="0.35">
      <c r="B5" s="233"/>
      <c r="C5" s="233"/>
    </row>
    <row r="6" spans="1:21" ht="27" customHeight="1" x14ac:dyDescent="0.4">
      <c r="B6" s="318" t="s">
        <v>237</v>
      </c>
      <c r="C6" s="282"/>
      <c r="D6" s="283"/>
      <c r="E6" s="283"/>
      <c r="F6" s="283"/>
      <c r="G6" s="283"/>
      <c r="H6" s="283"/>
      <c r="I6" s="283"/>
      <c r="J6" s="283"/>
      <c r="K6" s="283"/>
      <c r="L6" s="283"/>
      <c r="M6" s="284"/>
      <c r="N6" s="441"/>
      <c r="O6" s="283"/>
      <c r="P6" s="283"/>
      <c r="Q6" s="283"/>
      <c r="R6" s="283"/>
      <c r="S6" s="283"/>
      <c r="T6" s="283"/>
      <c r="U6" s="284"/>
    </row>
    <row r="7" spans="1:21" ht="27" customHeight="1" x14ac:dyDescent="0.4">
      <c r="B7" s="285"/>
      <c r="C7" s="286"/>
      <c r="D7" s="148"/>
      <c r="E7" s="148"/>
      <c r="F7" s="148"/>
      <c r="G7" s="148"/>
      <c r="H7" s="148"/>
      <c r="I7" s="148"/>
      <c r="J7" s="148"/>
      <c r="K7" s="148"/>
      <c r="L7" s="148"/>
      <c r="M7" s="287"/>
      <c r="N7" s="442"/>
      <c r="O7" s="148"/>
      <c r="P7" s="148"/>
      <c r="Q7" s="148"/>
      <c r="R7" s="148"/>
      <c r="S7" s="148"/>
      <c r="T7" s="148"/>
      <c r="U7" s="287"/>
    </row>
    <row r="8" spans="1:21" ht="21" x14ac:dyDescent="0.4">
      <c r="B8" s="319" t="s">
        <v>238</v>
      </c>
      <c r="C8" s="286"/>
      <c r="D8" s="148"/>
      <c r="E8" s="151"/>
      <c r="F8" s="151"/>
      <c r="G8" s="151"/>
      <c r="H8" s="151"/>
      <c r="I8" s="148"/>
      <c r="J8" s="148"/>
      <c r="K8" s="148"/>
      <c r="L8" s="148"/>
      <c r="M8" s="287"/>
      <c r="N8" s="319" t="s">
        <v>239</v>
      </c>
      <c r="O8" s="148"/>
      <c r="P8" s="148"/>
      <c r="Q8" s="148"/>
      <c r="R8" s="148"/>
      <c r="S8" s="148"/>
      <c r="T8" s="148"/>
      <c r="U8" s="300"/>
    </row>
    <row r="9" spans="1:21" ht="21" customHeight="1" thickBot="1" x14ac:dyDescent="0.35">
      <c r="B9" s="288"/>
      <c r="C9" s="289" t="s">
        <v>239</v>
      </c>
      <c r="D9" s="151"/>
      <c r="E9" s="151"/>
      <c r="F9" s="290">
        <f>IF('Gårdens info'!D10&gt;0,H9*'Gårdens info'!G10,0)</f>
        <v>54240</v>
      </c>
      <c r="G9" s="151" t="s">
        <v>14</v>
      </c>
      <c r="H9" s="619">
        <f>IF('Gårdens info'!G10&gt;0,(('Gårdens info'!D10*'Gårdens info'!G10*S10*T10)+('Gårdens info'!D10*'Gårdens info'!G10*S11*T11)+('Gårdens info'!D10*'Gårdens info'!G10*S12*T12)+('Gårdens info'!D10*'Gårdens info'!G10*S13*T13)+('Gårdens info'!D10*'Gårdens info'!G10*S14*T14)+('Gårdens info'!D10*'Gårdens info'!G10*S15*T15)+('Gårdens info'!D10*'Gårdens info'!G10*S16*T16)+('Gårdens info'!D10*'Gårdens info'!G10*S17*T17))/(('Gårdens info'!D10*'Gårdens info'!G10)),0)</f>
        <v>0.90400000000000003</v>
      </c>
      <c r="I9" s="151" t="s">
        <v>6</v>
      </c>
      <c r="J9" s="290">
        <f>F9*'Gårdens info'!D10</f>
        <v>54240</v>
      </c>
      <c r="K9" s="151" t="s">
        <v>242</v>
      </c>
      <c r="L9" s="151"/>
      <c r="M9" s="287"/>
      <c r="N9" s="442"/>
      <c r="O9" s="943" t="s">
        <v>336</v>
      </c>
      <c r="P9" s="943"/>
      <c r="Q9" s="943"/>
      <c r="R9" s="443"/>
      <c r="S9" s="840" t="s">
        <v>331</v>
      </c>
      <c r="T9" s="944" t="s">
        <v>332</v>
      </c>
      <c r="U9" s="945"/>
    </row>
    <row r="10" spans="1:21" ht="15.6" thickBot="1" x14ac:dyDescent="0.3">
      <c r="B10" s="288"/>
      <c r="C10" s="151" t="s">
        <v>224</v>
      </c>
      <c r="D10" s="151"/>
      <c r="E10" s="151"/>
      <c r="F10" s="290">
        <f>IF('Gårdens info'!D10&gt;0,Stöd!J6/'Gårdens info'!D37*Stöd!L6+Stöd!J7/'Gårdens info'!D37*Stöd!L7+Stöd!J8/'Gårdens info'!D37*Stöd!L8+Stöd!J12/'Gårdens info'!D37*Stöd!L12+Stöd!J16/'Gårdens info'!D37*Stöd!L16+Stöd!J18/'Gårdens info'!D37*Stöd!L18+Stöd!J19/'Gårdens info'!D37*Stöd!L19+Stöd!J20/'Gårdens info'!D37*Stöd!L20+Stöd!J21/'Gårdens info'!D37*Stöd!L21,0)</f>
        <v>0</v>
      </c>
      <c r="G10" s="151" t="s">
        <v>14</v>
      </c>
      <c r="H10" s="619">
        <f>IF('Gårdens info'!G10&gt;0,F10/'Gårdens info'!G10,0)</f>
        <v>0</v>
      </c>
      <c r="I10" s="151" t="s">
        <v>6</v>
      </c>
      <c r="J10" s="290">
        <f>F10*'Gårdens info'!D10</f>
        <v>0</v>
      </c>
      <c r="K10" s="151" t="s">
        <v>242</v>
      </c>
      <c r="L10" s="151"/>
      <c r="M10" s="287"/>
      <c r="N10" s="442"/>
      <c r="O10" s="151">
        <v>1</v>
      </c>
      <c r="P10" s="151" t="s">
        <v>21</v>
      </c>
      <c r="Q10" s="151" t="s">
        <v>333</v>
      </c>
      <c r="R10" s="151"/>
      <c r="S10" s="452">
        <v>0.4</v>
      </c>
      <c r="T10" s="317">
        <v>0.9</v>
      </c>
      <c r="U10" s="300" t="s">
        <v>6</v>
      </c>
    </row>
    <row r="11" spans="1:21" s="8" customFormat="1" ht="21.6" thickBot="1" x14ac:dyDescent="0.45">
      <c r="A11" s="555"/>
      <c r="B11" s="932" t="s">
        <v>240</v>
      </c>
      <c r="C11" s="933"/>
      <c r="D11" s="933"/>
      <c r="E11" s="324"/>
      <c r="F11" s="328">
        <f>F9+F10</f>
        <v>54240</v>
      </c>
      <c r="G11" s="329" t="s">
        <v>14</v>
      </c>
      <c r="H11" s="618">
        <f>H9+H10</f>
        <v>0.90400000000000003</v>
      </c>
      <c r="I11" s="329" t="s">
        <v>6</v>
      </c>
      <c r="J11" s="331">
        <f>J9+J10</f>
        <v>54240</v>
      </c>
      <c r="K11" s="329" t="s">
        <v>242</v>
      </c>
      <c r="L11" s="329"/>
      <c r="M11" s="321"/>
      <c r="N11" s="445"/>
      <c r="O11" s="151">
        <v>0.25</v>
      </c>
      <c r="P11" s="151" t="s">
        <v>21</v>
      </c>
      <c r="Q11" s="151" t="s">
        <v>334</v>
      </c>
      <c r="R11" s="151"/>
      <c r="S11" s="454">
        <v>0</v>
      </c>
      <c r="T11" s="317"/>
      <c r="U11" s="300" t="s">
        <v>6</v>
      </c>
    </row>
    <row r="12" spans="1:21" s="8" customFormat="1" ht="21.6" thickBot="1" x14ac:dyDescent="0.45">
      <c r="A12" s="555"/>
      <c r="B12" s="351"/>
      <c r="C12" s="332"/>
      <c r="D12" s="332"/>
      <c r="E12" s="324"/>
      <c r="F12" s="328"/>
      <c r="G12" s="329"/>
      <c r="H12" s="330"/>
      <c r="I12" s="329"/>
      <c r="J12" s="331"/>
      <c r="K12" s="329"/>
      <c r="L12" s="329"/>
      <c r="M12" s="321"/>
      <c r="N12" s="445"/>
      <c r="O12" s="151">
        <v>0.5</v>
      </c>
      <c r="P12" s="151" t="s">
        <v>21</v>
      </c>
      <c r="Q12" s="151" t="s">
        <v>333</v>
      </c>
      <c r="R12" s="151"/>
      <c r="S12" s="454">
        <v>0.4</v>
      </c>
      <c r="T12" s="317">
        <v>0.92</v>
      </c>
      <c r="U12" s="300" t="s">
        <v>6</v>
      </c>
    </row>
    <row r="13" spans="1:21" ht="22.05" customHeight="1" thickBot="1" x14ac:dyDescent="0.35">
      <c r="B13" s="292"/>
      <c r="C13" s="286"/>
      <c r="D13" s="148"/>
      <c r="E13" s="148"/>
      <c r="F13" s="148"/>
      <c r="G13" s="148"/>
      <c r="H13" s="148"/>
      <c r="I13" s="148"/>
      <c r="J13" s="293"/>
      <c r="K13" s="148"/>
      <c r="L13" s="148"/>
      <c r="M13" s="287"/>
      <c r="N13" s="442"/>
      <c r="O13" s="151">
        <v>10</v>
      </c>
      <c r="P13" s="151" t="s">
        <v>21</v>
      </c>
      <c r="Q13" s="151" t="s">
        <v>335</v>
      </c>
      <c r="R13" s="151"/>
      <c r="S13" s="454">
        <v>0.2</v>
      </c>
      <c r="T13" s="317">
        <v>0.88</v>
      </c>
      <c r="U13" s="300" t="s">
        <v>6</v>
      </c>
    </row>
    <row r="14" spans="1:21" ht="21.6" thickBot="1" x14ac:dyDescent="0.45">
      <c r="B14" s="319" t="s">
        <v>241</v>
      </c>
      <c r="C14" s="286"/>
      <c r="D14" s="148"/>
      <c r="E14" s="148"/>
      <c r="F14" s="148"/>
      <c r="G14" s="148"/>
      <c r="H14" s="148"/>
      <c r="I14" s="148"/>
      <c r="J14" s="293"/>
      <c r="K14" s="148"/>
      <c r="L14" s="148"/>
      <c r="M14" s="287"/>
      <c r="N14" s="442"/>
      <c r="O14" s="812">
        <f>D114</f>
        <v>0</v>
      </c>
      <c r="P14" s="151" t="s">
        <v>21</v>
      </c>
      <c r="Q14" s="813" t="str">
        <f>C114</f>
        <v>förpackning X</v>
      </c>
      <c r="R14" s="151"/>
      <c r="S14" s="454">
        <v>0</v>
      </c>
      <c r="T14" s="317"/>
      <c r="U14" s="300" t="s">
        <v>6</v>
      </c>
    </row>
    <row r="15" spans="1:21" s="77" customFormat="1" ht="16.95" customHeight="1" thickBot="1" x14ac:dyDescent="0.35">
      <c r="A15" s="557"/>
      <c r="B15" s="602"/>
      <c r="C15" s="306"/>
      <c r="D15" s="310"/>
      <c r="E15" s="310"/>
      <c r="F15" s="311"/>
      <c r="G15" s="153"/>
      <c r="H15" s="310"/>
      <c r="I15" s="310"/>
      <c r="J15" s="310"/>
      <c r="K15" s="310"/>
      <c r="L15" s="310"/>
      <c r="M15" s="295"/>
      <c r="N15" s="442"/>
      <c r="O15" s="812">
        <f>D115</f>
        <v>0</v>
      </c>
      <c r="P15" s="151" t="s">
        <v>21</v>
      </c>
      <c r="Q15" s="813" t="str">
        <f t="shared" ref="Q15:Q17" si="0">C115</f>
        <v>förpackning X</v>
      </c>
      <c r="R15" s="151"/>
      <c r="S15" s="454">
        <v>0</v>
      </c>
      <c r="T15" s="317"/>
      <c r="U15" s="300" t="s">
        <v>6</v>
      </c>
    </row>
    <row r="16" spans="1:21" s="91" customFormat="1" ht="16.95" customHeight="1" thickBot="1" x14ac:dyDescent="0.3">
      <c r="A16" s="557"/>
      <c r="B16" s="602"/>
      <c r="C16" s="289" t="s">
        <v>243</v>
      </c>
      <c r="D16" s="297"/>
      <c r="E16" s="297"/>
      <c r="F16" s="308">
        <f>IF('Gårdens info'!D10&gt;0,J73,0)</f>
        <v>700</v>
      </c>
      <c r="G16" s="151" t="s">
        <v>14</v>
      </c>
      <c r="H16" s="614">
        <f>IF('Gårdens info'!$G$10&gt;0,F16/'Gårdens info'!$G$10,0)</f>
        <v>1.1666666666666667E-2</v>
      </c>
      <c r="I16" s="151" t="s">
        <v>6</v>
      </c>
      <c r="J16" s="298">
        <f>F16*'Gårdens info'!$D$10</f>
        <v>700</v>
      </c>
      <c r="K16" s="151" t="s">
        <v>242</v>
      </c>
      <c r="L16" s="297"/>
      <c r="M16" s="300"/>
      <c r="N16" s="288"/>
      <c r="O16" s="812">
        <f t="shared" ref="O16:O17" si="1">D116</f>
        <v>0</v>
      </c>
      <c r="P16" s="151" t="s">
        <v>21</v>
      </c>
      <c r="Q16" s="813" t="str">
        <f t="shared" si="0"/>
        <v>förpackning X</v>
      </c>
      <c r="R16" s="151"/>
      <c r="S16" s="454">
        <v>0</v>
      </c>
      <c r="T16" s="317"/>
      <c r="U16" s="300" t="s">
        <v>6</v>
      </c>
    </row>
    <row r="17" spans="1:30" s="91" customFormat="1" ht="15.6" thickBot="1" x14ac:dyDescent="0.3">
      <c r="A17" s="557"/>
      <c r="B17" s="296"/>
      <c r="C17" s="289" t="s">
        <v>244</v>
      </c>
      <c r="D17" s="297"/>
      <c r="E17" s="297"/>
      <c r="F17" s="298">
        <f>IF('Gårdens info'!D10&gt;0,J84,0)</f>
        <v>1292</v>
      </c>
      <c r="G17" s="151" t="s">
        <v>14</v>
      </c>
      <c r="H17" s="614">
        <f>IF('Gårdens info'!$G$10&gt;0,F17/'Gårdens info'!$G$10,0)</f>
        <v>2.1533333333333335E-2</v>
      </c>
      <c r="I17" s="151" t="s">
        <v>6</v>
      </c>
      <c r="J17" s="298">
        <f>F17*'Gårdens info'!$D$10</f>
        <v>1292</v>
      </c>
      <c r="K17" s="151" t="s">
        <v>242</v>
      </c>
      <c r="L17" s="297"/>
      <c r="M17" s="300"/>
      <c r="N17" s="442"/>
      <c r="O17" s="812">
        <f t="shared" si="1"/>
        <v>0</v>
      </c>
      <c r="P17" s="151" t="s">
        <v>21</v>
      </c>
      <c r="Q17" s="813" t="str">
        <f t="shared" si="0"/>
        <v>förpackning X</v>
      </c>
      <c r="R17" s="151"/>
      <c r="S17" s="454">
        <v>0</v>
      </c>
      <c r="T17" s="317"/>
      <c r="U17" s="300" t="s">
        <v>6</v>
      </c>
    </row>
    <row r="18" spans="1:30" s="91" customFormat="1" ht="17.399999999999999" x14ac:dyDescent="0.3">
      <c r="A18" s="557"/>
      <c r="B18" s="296"/>
      <c r="C18" s="289" t="s">
        <v>245</v>
      </c>
      <c r="D18" s="297"/>
      <c r="E18" s="297"/>
      <c r="F18" s="298">
        <f>IF('Gårdens info'!D10&gt;0,J105,0)</f>
        <v>213.64800000000002</v>
      </c>
      <c r="G18" s="151" t="s">
        <v>14</v>
      </c>
      <c r="H18" s="614">
        <f>IF('Gårdens info'!$G$10&gt;0,F18/'Gårdens info'!$G$10,0)</f>
        <v>3.5608000000000002E-3</v>
      </c>
      <c r="I18" s="151" t="s">
        <v>6</v>
      </c>
      <c r="J18" s="298">
        <f>F18*'Gårdens info'!$D$10</f>
        <v>213.64800000000002</v>
      </c>
      <c r="K18" s="151" t="s">
        <v>242</v>
      </c>
      <c r="L18" s="297"/>
      <c r="M18" s="300"/>
      <c r="N18" s="446"/>
      <c r="O18" s="946" t="s">
        <v>196</v>
      </c>
      <c r="P18" s="946"/>
      <c r="Q18" s="946"/>
      <c r="R18" s="153"/>
      <c r="S18" s="450">
        <f>SUM(S10:S17)</f>
        <v>1</v>
      </c>
      <c r="T18" s="153"/>
      <c r="U18" s="295"/>
    </row>
    <row r="19" spans="1:30" s="91" customFormat="1" ht="15.6" x14ac:dyDescent="0.3">
      <c r="A19" s="557"/>
      <c r="B19" s="296"/>
      <c r="C19" s="289" t="s">
        <v>246</v>
      </c>
      <c r="D19" s="297"/>
      <c r="E19" s="297"/>
      <c r="F19" s="298">
        <f>IF('Gårdens info'!D10&gt;0,J118,0)</f>
        <v>780</v>
      </c>
      <c r="G19" s="151" t="s">
        <v>14</v>
      </c>
      <c r="H19" s="614">
        <f>IF('Gårdens info'!$G$10&gt;0,F19/'Gårdens info'!$G$10,0)</f>
        <v>1.2999999999999999E-2</v>
      </c>
      <c r="I19" s="151" t="s">
        <v>6</v>
      </c>
      <c r="J19" s="298">
        <f>F19*'Gårdens info'!$D$10</f>
        <v>780</v>
      </c>
      <c r="K19" s="151" t="s">
        <v>242</v>
      </c>
      <c r="L19" s="297"/>
      <c r="M19" s="300"/>
      <c r="N19" s="288"/>
      <c r="O19" s="451" t="str">
        <f>IF(S18=100%," ","HUOM! Osuus myyynneistä pitää summautua 100 prosenttiin")</f>
        <v xml:space="preserve"> </v>
      </c>
      <c r="P19" s="151"/>
      <c r="R19" s="151"/>
      <c r="S19" s="151"/>
      <c r="T19" s="151"/>
      <c r="U19" s="300"/>
    </row>
    <row r="20" spans="1:30" s="91" customFormat="1" ht="15.6" thickBot="1" x14ac:dyDescent="0.3">
      <c r="A20" s="557"/>
      <c r="B20" s="296"/>
      <c r="C20" s="289" t="s">
        <v>247</v>
      </c>
      <c r="D20" s="297"/>
      <c r="E20" s="297"/>
      <c r="F20" s="298">
        <f>IF('Gårdens info'!D10&gt;0,122,0)</f>
        <v>122</v>
      </c>
      <c r="G20" s="151" t="s">
        <v>14</v>
      </c>
      <c r="H20" s="614">
        <f>IF('Gårdens info'!$G$10&gt;0,F20/'Gårdens info'!$G$10,0)</f>
        <v>2.0333333333333332E-3</v>
      </c>
      <c r="I20" s="151" t="s">
        <v>6</v>
      </c>
      <c r="J20" s="298">
        <f>F20*'Gårdens info'!$D$10</f>
        <v>122</v>
      </c>
      <c r="K20" s="151" t="s">
        <v>242</v>
      </c>
      <c r="L20" s="297"/>
      <c r="M20" s="300"/>
      <c r="N20" s="447"/>
      <c r="O20" s="448"/>
      <c r="P20" s="448"/>
      <c r="Q20" s="448"/>
      <c r="R20" s="448"/>
      <c r="S20" s="448"/>
      <c r="T20" s="448"/>
      <c r="U20" s="449"/>
    </row>
    <row r="21" spans="1:30" s="91" customFormat="1" ht="15" x14ac:dyDescent="0.25">
      <c r="A21" s="557"/>
      <c r="B21" s="296"/>
      <c r="C21" s="289" t="s">
        <v>248</v>
      </c>
      <c r="D21" s="297"/>
      <c r="E21" s="297"/>
      <c r="F21" s="298">
        <f>IF('Gårdens info'!D10&gt;0,J134,0)</f>
        <v>0</v>
      </c>
      <c r="G21" s="151" t="s">
        <v>14</v>
      </c>
      <c r="H21" s="614">
        <f>IF('Gårdens info'!$G$10&gt;0,F21/'Gårdens info'!$G$10,0)</f>
        <v>0</v>
      </c>
      <c r="I21" s="151" t="s">
        <v>6</v>
      </c>
      <c r="J21" s="298">
        <f>F21*'Gårdens info'!$D$10</f>
        <v>0</v>
      </c>
      <c r="K21" s="151" t="s">
        <v>242</v>
      </c>
      <c r="L21" s="297"/>
      <c r="M21" s="300"/>
    </row>
    <row r="22" spans="1:30" s="91" customFormat="1" ht="15" x14ac:dyDescent="0.25">
      <c r="A22" s="557"/>
      <c r="B22" s="296"/>
      <c r="C22" s="289" t="s">
        <v>249</v>
      </c>
      <c r="D22" s="297"/>
      <c r="E22" s="297"/>
      <c r="F22" s="298">
        <f>IF('Gårdens info'!D10&gt;0,J146,0)</f>
        <v>2423.1999999999998</v>
      </c>
      <c r="G22" s="151" t="s">
        <v>14</v>
      </c>
      <c r="H22" s="614">
        <f>IF('Gårdens info'!$G$10&gt;0,F22/'Gårdens info'!$G$10,0)</f>
        <v>4.0386666666666661E-2</v>
      </c>
      <c r="I22" s="151" t="s">
        <v>6</v>
      </c>
      <c r="J22" s="298">
        <f>F22*'Gårdens info'!$D$10</f>
        <v>2423.1999999999998</v>
      </c>
      <c r="K22" s="151" t="s">
        <v>242</v>
      </c>
      <c r="L22" s="297"/>
      <c r="M22" s="300"/>
    </row>
    <row r="23" spans="1:30" s="91" customFormat="1" ht="15" x14ac:dyDescent="0.25">
      <c r="A23" s="557"/>
      <c r="B23" s="296"/>
      <c r="C23" s="289" t="s">
        <v>250</v>
      </c>
      <c r="D23" s="297"/>
      <c r="E23" s="297"/>
      <c r="F23" s="298">
        <f>IF('Gårdens info'!D10&gt;0,L173,0)</f>
        <v>870</v>
      </c>
      <c r="G23" s="151" t="s">
        <v>14</v>
      </c>
      <c r="H23" s="614">
        <f>IF('Gårdens info'!$G$10&gt;0,F23/'Gårdens info'!$G$10,0)</f>
        <v>1.4500000000000001E-2</v>
      </c>
      <c r="I23" s="151" t="s">
        <v>6</v>
      </c>
      <c r="J23" s="298">
        <f>F23*'Gårdens info'!$D$10</f>
        <v>870</v>
      </c>
      <c r="K23" s="151" t="s">
        <v>242</v>
      </c>
      <c r="L23" s="297"/>
      <c r="M23" s="300"/>
    </row>
    <row r="24" spans="1:30" ht="15.6" x14ac:dyDescent="0.3">
      <c r="B24" s="312"/>
      <c r="C24" s="301" t="s">
        <v>196</v>
      </c>
      <c r="D24" s="302"/>
      <c r="E24" s="302"/>
      <c r="F24" s="303">
        <f>SUM(F16:F23)</f>
        <v>6400.848</v>
      </c>
      <c r="G24" s="304" t="s">
        <v>14</v>
      </c>
      <c r="H24" s="615">
        <f>SUM(H16:H23)</f>
        <v>0.10668079999999999</v>
      </c>
      <c r="I24" s="304" t="s">
        <v>6</v>
      </c>
      <c r="J24" s="303">
        <f>SUM(J16:J23)</f>
        <v>6400.848</v>
      </c>
      <c r="K24" s="304" t="s">
        <v>242</v>
      </c>
      <c r="L24" s="302"/>
      <c r="M24" s="313"/>
      <c r="N24" s="91"/>
      <c r="O24" s="91"/>
      <c r="P24" s="91"/>
      <c r="Q24" s="91"/>
      <c r="R24" s="91"/>
      <c r="S24" s="91"/>
      <c r="T24" s="91"/>
      <c r="U24" s="91"/>
      <c r="AA24" s="868"/>
      <c r="AB24" s="868"/>
      <c r="AC24" s="868"/>
      <c r="AD24" s="868"/>
    </row>
    <row r="25" spans="1:30" s="77" customFormat="1" ht="17.399999999999999" x14ac:dyDescent="0.3">
      <c r="A25" s="556"/>
      <c r="B25" s="292"/>
      <c r="C25" s="306"/>
      <c r="D25" s="307"/>
      <c r="E25" s="307"/>
      <c r="F25" s="308"/>
      <c r="G25" s="151"/>
      <c r="H25" s="616"/>
      <c r="I25" s="307"/>
      <c r="J25" s="307"/>
      <c r="K25" s="307"/>
      <c r="L25" s="307"/>
      <c r="M25" s="287"/>
      <c r="N25" s="91"/>
      <c r="O25" s="91"/>
      <c r="P25" s="91"/>
      <c r="R25" s="91"/>
      <c r="S25" s="91"/>
      <c r="T25" s="91"/>
      <c r="U25" s="91"/>
      <c r="AA25" s="878"/>
      <c r="AB25" s="878" t="s">
        <v>243</v>
      </c>
      <c r="AC25" s="859">
        <f>F16</f>
        <v>700</v>
      </c>
      <c r="AD25" s="878"/>
    </row>
    <row r="26" spans="1:30" s="91" customFormat="1" ht="17.399999999999999" x14ac:dyDescent="0.3">
      <c r="A26" s="557"/>
      <c r="B26" s="947" t="s">
        <v>251</v>
      </c>
      <c r="C26" s="948"/>
      <c r="D26" s="948"/>
      <c r="E26" s="948"/>
      <c r="F26" s="325">
        <f>IF('Gårdens info'!D10&gt;0,J26/'Gårdens info'!D10,0)</f>
        <v>414.81481481481484</v>
      </c>
      <c r="G26" s="304" t="s">
        <v>14</v>
      </c>
      <c r="H26" s="617">
        <f>IF('Gårdens info'!G10&gt;0,F26/'Gårdens info'!G10,0)</f>
        <v>6.9135802469135806E-3</v>
      </c>
      <c r="I26" s="304" t="s">
        <v>6</v>
      </c>
      <c r="J26" s="320">
        <f>'Gårdens info'!G147/'Gårdens info'!D37*'Gårdens info'!D10</f>
        <v>414.81481481481484</v>
      </c>
      <c r="K26" s="304" t="s">
        <v>242</v>
      </c>
      <c r="L26" s="327"/>
      <c r="M26" s="321"/>
      <c r="N26"/>
      <c r="O26"/>
      <c r="P26"/>
      <c r="S26"/>
      <c r="T26"/>
      <c r="U26"/>
      <c r="AA26" s="858"/>
      <c r="AB26" s="858" t="str">
        <f t="shared" ref="AB26:AB32" si="2">C17</f>
        <v>Gödsel och kalk</v>
      </c>
      <c r="AC26" s="859">
        <f t="shared" ref="AC26:AC32" si="3">F17</f>
        <v>1292</v>
      </c>
      <c r="AD26" s="858"/>
    </row>
    <row r="27" spans="1:30" s="91" customFormat="1" ht="17.399999999999999" x14ac:dyDescent="0.3">
      <c r="A27" s="557"/>
      <c r="B27" s="949" t="s">
        <v>262</v>
      </c>
      <c r="C27" s="950"/>
      <c r="D27" s="950"/>
      <c r="E27" s="950"/>
      <c r="F27" s="325">
        <f>'Gårdens info'!$G$42*'Gårdens info'!$D$42/'Gårdens info'!$D$37*'Gårdens info'!D10</f>
        <v>44.444444444444443</v>
      </c>
      <c r="G27" s="304" t="s">
        <v>14</v>
      </c>
      <c r="H27" s="617">
        <f>IF('Gårdens info'!G10&gt;0,F27/'Gårdens info'!G10,0)</f>
        <v>7.407407407407407E-4</v>
      </c>
      <c r="I27" s="304" t="s">
        <v>6</v>
      </c>
      <c r="J27" s="320">
        <f>F27*'Gårdens info'!D10</f>
        <v>44.444444444444443</v>
      </c>
      <c r="K27" s="304" t="s">
        <v>242</v>
      </c>
      <c r="L27" s="327"/>
      <c r="M27" s="321"/>
      <c r="N27" s="77"/>
      <c r="O27" s="77"/>
      <c r="P27" s="77"/>
      <c r="S27" s="77"/>
      <c r="T27" s="77"/>
      <c r="U27" s="77"/>
      <c r="AA27" s="858"/>
      <c r="AB27" s="858" t="str">
        <f t="shared" si="2"/>
        <v>IPM Växtskydd</v>
      </c>
      <c r="AC27" s="859">
        <f t="shared" si="3"/>
        <v>213.64800000000002</v>
      </c>
      <c r="AD27" s="858"/>
    </row>
    <row r="28" spans="1:30" s="91" customFormat="1" ht="21" x14ac:dyDescent="0.4">
      <c r="A28" s="557"/>
      <c r="B28" s="932" t="s">
        <v>226</v>
      </c>
      <c r="C28" s="933"/>
      <c r="D28" s="933"/>
      <c r="E28" s="324"/>
      <c r="F28" s="328">
        <f>F24+F26+F27</f>
        <v>6860.1072592592591</v>
      </c>
      <c r="G28" s="329" t="s">
        <v>14</v>
      </c>
      <c r="H28" s="618">
        <f>H24+H26+H27</f>
        <v>0.1143351209876543</v>
      </c>
      <c r="I28" s="329" t="s">
        <v>6</v>
      </c>
      <c r="J28" s="331">
        <f>J24+J26+J27</f>
        <v>6860.1072592592591</v>
      </c>
      <c r="K28" s="329" t="s">
        <v>242</v>
      </c>
      <c r="L28" s="329"/>
      <c r="M28" s="321"/>
      <c r="AA28" s="858"/>
      <c r="AB28" s="858" t="str">
        <f t="shared" si="2"/>
        <v>Packningsmaterial</v>
      </c>
      <c r="AC28" s="859">
        <f t="shared" si="3"/>
        <v>780</v>
      </c>
      <c r="AD28" s="858"/>
    </row>
    <row r="29" spans="1:30" s="91" customFormat="1" ht="21" x14ac:dyDescent="0.4">
      <c r="A29" s="557"/>
      <c r="B29" s="351"/>
      <c r="C29" s="332"/>
      <c r="D29" s="332"/>
      <c r="E29" s="324"/>
      <c r="F29" s="328"/>
      <c r="G29" s="329"/>
      <c r="H29" s="330"/>
      <c r="I29" s="329"/>
      <c r="J29" s="331"/>
      <c r="K29" s="329"/>
      <c r="L29" s="329"/>
      <c r="M29" s="321"/>
      <c r="AA29" s="858"/>
      <c r="AB29" s="858" t="str">
        <f t="shared" si="2"/>
        <v>Fraktkostnader</v>
      </c>
      <c r="AC29" s="859">
        <f t="shared" si="3"/>
        <v>122</v>
      </c>
      <c r="AD29" s="858"/>
    </row>
    <row r="30" spans="1:30" s="91" customFormat="1" ht="21" x14ac:dyDescent="0.4">
      <c r="A30" s="557"/>
      <c r="B30" s="319" t="s">
        <v>263</v>
      </c>
      <c r="C30" s="286"/>
      <c r="D30" s="148"/>
      <c r="E30" s="148"/>
      <c r="F30" s="148"/>
      <c r="G30" s="148"/>
      <c r="H30" s="148"/>
      <c r="I30" s="148"/>
      <c r="J30" s="293"/>
      <c r="K30" s="148"/>
      <c r="L30" s="148"/>
      <c r="M30" s="287"/>
      <c r="AA30" s="858"/>
      <c r="AB30" s="858" t="str">
        <f t="shared" si="2"/>
        <v>Maskinkostnader och entreprenad</v>
      </c>
      <c r="AC30" s="859">
        <f t="shared" si="3"/>
        <v>0</v>
      </c>
      <c r="AD30" s="858"/>
    </row>
    <row r="31" spans="1:30" s="91" customFormat="1" ht="21" x14ac:dyDescent="0.4">
      <c r="A31" s="557"/>
      <c r="B31" s="947" t="s">
        <v>149</v>
      </c>
      <c r="C31" s="948"/>
      <c r="D31" s="332"/>
      <c r="E31" s="324"/>
      <c r="F31" s="328"/>
      <c r="G31" s="329"/>
      <c r="H31" s="330"/>
      <c r="I31" s="329"/>
      <c r="J31" s="331"/>
      <c r="K31" s="329"/>
      <c r="L31" s="329"/>
      <c r="M31" s="321"/>
      <c r="AA31" s="858"/>
      <c r="AB31" s="858" t="str">
        <f t="shared" si="2"/>
        <v>Energikostnader</v>
      </c>
      <c r="AC31" s="859">
        <f t="shared" si="3"/>
        <v>2423.1999999999998</v>
      </c>
      <c r="AD31" s="858"/>
    </row>
    <row r="32" spans="1:30" s="91" customFormat="1" ht="21" x14ac:dyDescent="0.4">
      <c r="A32" s="557"/>
      <c r="B32" s="350"/>
      <c r="C32" s="336" t="s">
        <v>264</v>
      </c>
      <c r="D32" s="332"/>
      <c r="E32" s="324"/>
      <c r="F32" s="338">
        <f>IF('Gårdens info'!$D$10&gt;0,J32/'Gårdens info'!$D$10,0)</f>
        <v>391.11111111111109</v>
      </c>
      <c r="G32" s="151" t="s">
        <v>14</v>
      </c>
      <c r="H32" s="613">
        <f>IF('Gårdens info'!$G$10&gt;0,F32/'Gårdens info'!$G$10,0)</f>
        <v>6.5185185185185181E-3</v>
      </c>
      <c r="I32" s="151" t="s">
        <v>6</v>
      </c>
      <c r="J32" s="298">
        <f>Ägendom!AI22</f>
        <v>391.11111111111109</v>
      </c>
      <c r="K32" s="151" t="s">
        <v>242</v>
      </c>
      <c r="L32" s="329"/>
      <c r="M32" s="321"/>
      <c r="AA32" s="858"/>
      <c r="AB32" s="858" t="str">
        <f t="shared" si="2"/>
        <v>Anställd arbetskraft</v>
      </c>
      <c r="AC32" s="859">
        <f t="shared" si="3"/>
        <v>870</v>
      </c>
      <c r="AD32" s="858"/>
    </row>
    <row r="33" spans="1:30" s="236" customFormat="1" ht="21" x14ac:dyDescent="0.4">
      <c r="A33" s="558"/>
      <c r="B33" s="350"/>
      <c r="C33" s="336" t="s">
        <v>265</v>
      </c>
      <c r="D33" s="332"/>
      <c r="E33" s="324"/>
      <c r="F33" s="338">
        <f>IF('Gårdens info'!$D$10&gt;0,J33/'Gårdens info'!$D$10,0)</f>
        <v>244.44444444444443</v>
      </c>
      <c r="G33" s="151" t="s">
        <v>14</v>
      </c>
      <c r="H33" s="613">
        <f>IF('Gårdens info'!$G$10&gt;0,F33/'Gårdens info'!$G$10,0)</f>
        <v>4.0740740740740737E-3</v>
      </c>
      <c r="I33" s="151" t="s">
        <v>6</v>
      </c>
      <c r="J33" s="298">
        <f>Ägendom!BE22</f>
        <v>244.44444444444443</v>
      </c>
      <c r="K33" s="151" t="s">
        <v>242</v>
      </c>
      <c r="L33" s="329"/>
      <c r="M33" s="321"/>
      <c r="N33" s="91"/>
      <c r="O33" s="91"/>
      <c r="P33" s="91"/>
      <c r="S33" s="91"/>
      <c r="T33" s="91"/>
      <c r="U33" s="91"/>
      <c r="AA33" s="879"/>
      <c r="AB33" s="860" t="s">
        <v>572</v>
      </c>
      <c r="AC33" s="860">
        <f>F26</f>
        <v>414.81481481481484</v>
      </c>
      <c r="AD33" s="879"/>
    </row>
    <row r="34" spans="1:30" ht="17.399999999999999" x14ac:dyDescent="0.3">
      <c r="B34" s="350"/>
      <c r="C34" s="941" t="s">
        <v>266</v>
      </c>
      <c r="D34" s="941"/>
      <c r="E34" s="324"/>
      <c r="F34" s="338">
        <f>IF('Gårdens info'!$D$10&gt;0,J34/'Gårdens info'!$D$10,0)</f>
        <v>97.777777777777771</v>
      </c>
      <c r="G34" s="151" t="s">
        <v>14</v>
      </c>
      <c r="H34" s="613">
        <f>IF('Gårdens info'!$G$10&gt;0,F34/'Gårdens info'!$G$10,0)</f>
        <v>1.6296296296296295E-3</v>
      </c>
      <c r="I34" s="151" t="s">
        <v>6</v>
      </c>
      <c r="J34" s="298">
        <f>Ägendom!CA22</f>
        <v>97.777777777777771</v>
      </c>
      <c r="K34" s="151" t="s">
        <v>242</v>
      </c>
      <c r="L34" s="329"/>
      <c r="M34" s="321"/>
      <c r="N34" s="91"/>
      <c r="O34" s="91"/>
      <c r="P34" s="91"/>
      <c r="S34" s="91"/>
      <c r="T34" s="91"/>
      <c r="U34" s="91"/>
      <c r="AA34" s="868"/>
      <c r="AB34" s="858" t="s">
        <v>726</v>
      </c>
      <c r="AC34" s="860">
        <f>F27</f>
        <v>44.444444444444443</v>
      </c>
      <c r="AD34" s="868"/>
    </row>
    <row r="35" spans="1:30" ht="21" x14ac:dyDescent="0.4">
      <c r="B35" s="350"/>
      <c r="C35" s="336" t="s">
        <v>267</v>
      </c>
      <c r="D35" s="332"/>
      <c r="E35" s="324"/>
      <c r="F35" s="338">
        <f>IF('Gårdens info'!$D$10&gt;0,J35/'Gårdens info'!$D$10,0)</f>
        <v>19.555555555555554</v>
      </c>
      <c r="G35" s="151" t="s">
        <v>14</v>
      </c>
      <c r="H35" s="613">
        <f>IF('Gårdens info'!$G$10&gt;0,F35/'Gårdens info'!$G$10,0)</f>
        <v>3.2592592592592591E-4</v>
      </c>
      <c r="I35" s="151" t="s">
        <v>6</v>
      </c>
      <c r="J35" s="298">
        <f>Ägendom!CW22</f>
        <v>19.555555555555554</v>
      </c>
      <c r="K35" s="151" t="s">
        <v>242</v>
      </c>
      <c r="L35" s="329"/>
      <c r="M35" s="321"/>
      <c r="N35" s="236"/>
      <c r="O35" s="236"/>
      <c r="P35" s="236"/>
      <c r="S35" s="236"/>
      <c r="T35" s="236"/>
      <c r="U35" s="236"/>
      <c r="AA35" s="868"/>
      <c r="AB35" s="858" t="s">
        <v>576</v>
      </c>
      <c r="AC35" s="861">
        <f>F36</f>
        <v>752.8888888888888</v>
      </c>
      <c r="AD35" s="868"/>
    </row>
    <row r="36" spans="1:30" ht="20.399999999999999" x14ac:dyDescent="0.35">
      <c r="B36" s="352"/>
      <c r="C36" s="340" t="s">
        <v>196</v>
      </c>
      <c r="D36" s="341"/>
      <c r="E36" s="324"/>
      <c r="F36" s="342">
        <f>SUM(F32:F35)</f>
        <v>752.8888888888888</v>
      </c>
      <c r="G36" s="151" t="s">
        <v>14</v>
      </c>
      <c r="H36" s="727">
        <f>SUM(H32:H35)</f>
        <v>1.2548148148148147E-2</v>
      </c>
      <c r="I36" s="151" t="s">
        <v>6</v>
      </c>
      <c r="J36" s="342">
        <f t="shared" ref="J36" si="4">SUM(J32:J35)</f>
        <v>752.8888888888888</v>
      </c>
      <c r="K36" s="151" t="s">
        <v>242</v>
      </c>
      <c r="L36" s="343"/>
      <c r="M36" s="321"/>
      <c r="AA36" s="868"/>
      <c r="AB36" s="858" t="s">
        <v>577</v>
      </c>
      <c r="AC36" s="862">
        <f>F43</f>
        <v>8395.9345679012349</v>
      </c>
      <c r="AD36" s="868"/>
    </row>
    <row r="37" spans="1:30" s="91" customFormat="1" ht="21" x14ac:dyDescent="0.4">
      <c r="A37" s="557"/>
      <c r="B37" s="350"/>
      <c r="C37" s="336"/>
      <c r="D37" s="332"/>
      <c r="E37" s="324"/>
      <c r="F37" s="338"/>
      <c r="G37" s="151"/>
      <c r="H37" s="339"/>
      <c r="I37" s="151"/>
      <c r="J37" s="298"/>
      <c r="K37" s="151"/>
      <c r="L37" s="329"/>
      <c r="M37" s="321"/>
      <c r="N37"/>
      <c r="O37"/>
      <c r="P37"/>
      <c r="S37"/>
      <c r="T37"/>
      <c r="U37"/>
      <c r="AA37" s="858"/>
      <c r="AB37" s="858" t="s">
        <v>578</v>
      </c>
      <c r="AC37" s="862">
        <f>F50</f>
        <v>90.454047619047614</v>
      </c>
      <c r="AD37" s="858"/>
    </row>
    <row r="38" spans="1:30" s="91" customFormat="1" ht="17.399999999999999" x14ac:dyDescent="0.3">
      <c r="A38" s="557"/>
      <c r="B38" s="947" t="s">
        <v>150</v>
      </c>
      <c r="C38" s="948"/>
      <c r="D38" s="948"/>
      <c r="E38" s="324"/>
      <c r="F38" s="338"/>
      <c r="G38" s="151"/>
      <c r="H38" s="339"/>
      <c r="I38" s="151"/>
      <c r="J38" s="298"/>
      <c r="K38" s="151"/>
      <c r="L38" s="329"/>
      <c r="M38" s="321"/>
      <c r="N38"/>
      <c r="O38"/>
      <c r="P38"/>
      <c r="S38"/>
      <c r="T38"/>
      <c r="U38"/>
      <c r="AA38" s="858"/>
      <c r="AB38" s="858" t="s">
        <v>162</v>
      </c>
      <c r="AC38" s="862">
        <f>F56</f>
        <v>22.222222222222221</v>
      </c>
      <c r="AD38" s="858"/>
    </row>
    <row r="39" spans="1:30" s="91" customFormat="1" ht="21" x14ac:dyDescent="0.4">
      <c r="A39" s="557"/>
      <c r="B39" s="350"/>
      <c r="C39" s="838" t="s">
        <v>264</v>
      </c>
      <c r="D39" s="833"/>
      <c r="E39" s="324"/>
      <c r="F39" s="338">
        <f>IF('Gårdens info'!$D$10&gt;0,J39/'Gårdens info'!$D$10,0)</f>
        <v>4484.1975308641977</v>
      </c>
      <c r="G39" s="151" t="s">
        <v>14</v>
      </c>
      <c r="H39" s="613">
        <f>IF('Gårdens info'!$G$10&gt;0,F39/'Gårdens info'!$G$10,0)</f>
        <v>7.4736625514403299E-2</v>
      </c>
      <c r="I39" s="151" t="s">
        <v>6</v>
      </c>
      <c r="J39" s="298">
        <f>Ägendom!AI51</f>
        <v>4484.1975308641977</v>
      </c>
      <c r="K39" s="151" t="s">
        <v>242</v>
      </c>
      <c r="L39" s="329"/>
      <c r="M39" s="321"/>
      <c r="AA39" s="858"/>
      <c r="AB39" s="858" t="s">
        <v>727</v>
      </c>
      <c r="AC39" s="860">
        <f>F62</f>
        <v>2160.5</v>
      </c>
      <c r="AD39" s="858"/>
    </row>
    <row r="40" spans="1:30" s="8" customFormat="1" ht="21" x14ac:dyDescent="0.4">
      <c r="A40" s="555"/>
      <c r="B40" s="350"/>
      <c r="C40" s="838" t="s">
        <v>265</v>
      </c>
      <c r="D40" s="833"/>
      <c r="E40" s="324"/>
      <c r="F40" s="338">
        <f>IF('Gårdens info'!$D$10&gt;0,J40/'Gårdens info'!$D$10,0)</f>
        <v>1681.5740740740739</v>
      </c>
      <c r="G40" s="151" t="s">
        <v>14</v>
      </c>
      <c r="H40" s="613">
        <f>IF('Gårdens info'!$G$10&gt;0,F40/'Gårdens info'!$G$10,0)</f>
        <v>2.802623456790123E-2</v>
      </c>
      <c r="I40" s="151" t="s">
        <v>6</v>
      </c>
      <c r="J40" s="298">
        <f>Ägendom!BE51</f>
        <v>1681.5740740740739</v>
      </c>
      <c r="K40" s="151" t="s">
        <v>242</v>
      </c>
      <c r="L40" s="329"/>
      <c r="M40" s="321"/>
      <c r="N40" s="91"/>
      <c r="O40" s="91"/>
      <c r="P40" s="91"/>
      <c r="Q40" s="91"/>
      <c r="R40" s="91"/>
      <c r="S40" s="91"/>
      <c r="T40" s="91"/>
      <c r="U40" s="91"/>
      <c r="AA40" s="880"/>
      <c r="AB40" s="880"/>
      <c r="AC40" s="880"/>
      <c r="AD40" s="880"/>
    </row>
    <row r="41" spans="1:30" s="8" customFormat="1" ht="17.399999999999999" customHeight="1" x14ac:dyDescent="0.3">
      <c r="A41" s="555"/>
      <c r="B41" s="350"/>
      <c r="C41" s="941" t="s">
        <v>266</v>
      </c>
      <c r="D41" s="941"/>
      <c r="E41" s="324"/>
      <c r="F41" s="338">
        <f>IF('Gårdens info'!$D$10&gt;0,J41/'Gårdens info'!$D$10,0)</f>
        <v>2090.7777777777778</v>
      </c>
      <c r="G41" s="151" t="s">
        <v>14</v>
      </c>
      <c r="H41" s="613">
        <f>IF('Gårdens info'!$G$10&gt;0,F41/'Gårdens info'!$G$10,0)</f>
        <v>3.4846296296296299E-2</v>
      </c>
      <c r="I41" s="151" t="s">
        <v>6</v>
      </c>
      <c r="J41" s="298">
        <f>Ägendom!CA51</f>
        <v>2090.7777777777778</v>
      </c>
      <c r="K41" s="151" t="s">
        <v>242</v>
      </c>
      <c r="L41" s="329"/>
      <c r="M41" s="321"/>
      <c r="N41" s="91"/>
      <c r="O41" s="91"/>
      <c r="P41" s="91"/>
      <c r="Q41" s="91"/>
      <c r="R41" s="91"/>
      <c r="S41" s="91"/>
      <c r="T41" s="91"/>
      <c r="U41" s="91"/>
      <c r="AA41" s="880"/>
      <c r="AB41" s="880"/>
      <c r="AC41" s="880"/>
      <c r="AD41" s="880"/>
    </row>
    <row r="42" spans="1:30" s="8" customFormat="1" ht="21" x14ac:dyDescent="0.4">
      <c r="A42" s="555"/>
      <c r="B42" s="350"/>
      <c r="C42" s="838" t="s">
        <v>267</v>
      </c>
      <c r="D42" s="833"/>
      <c r="E42" s="324"/>
      <c r="F42" s="338">
        <f>IF('Gårdens info'!$D$10&gt;0,J42/'Gårdens info'!$D$10,0)</f>
        <v>139.38518518518518</v>
      </c>
      <c r="G42" s="151" t="s">
        <v>14</v>
      </c>
      <c r="H42" s="613">
        <f>IF('Gårdens info'!$G$10&gt;0,F42/'Gårdens info'!$G$10,0)</f>
        <v>2.3230864197530863E-3</v>
      </c>
      <c r="I42" s="151" t="s">
        <v>6</v>
      </c>
      <c r="J42" s="298">
        <f>Ägendom!CW51</f>
        <v>139.38518518518518</v>
      </c>
      <c r="K42" s="151" t="s">
        <v>242</v>
      </c>
      <c r="L42" s="329"/>
      <c r="M42" s="321"/>
      <c r="AA42" s="880"/>
      <c r="AB42" s="880"/>
      <c r="AC42" s="880"/>
      <c r="AD42" s="880"/>
    </row>
    <row r="43" spans="1:30" s="8" customFormat="1" ht="20.399999999999999" x14ac:dyDescent="0.35">
      <c r="A43" s="555"/>
      <c r="B43" s="352"/>
      <c r="C43" s="340" t="s">
        <v>196</v>
      </c>
      <c r="D43" s="341"/>
      <c r="E43" s="324"/>
      <c r="F43" s="342">
        <f>SUM(F39:F42)</f>
        <v>8395.9345679012349</v>
      </c>
      <c r="G43" s="151" t="s">
        <v>14</v>
      </c>
      <c r="H43" s="727">
        <f>SUM(H39:H42)</f>
        <v>0.13993224279835392</v>
      </c>
      <c r="I43" s="151" t="s">
        <v>6</v>
      </c>
      <c r="J43" s="342">
        <f t="shared" ref="J43" si="5">SUM(J39:J42)</f>
        <v>8395.9345679012349</v>
      </c>
      <c r="K43" s="151" t="s">
        <v>242</v>
      </c>
      <c r="L43" s="343"/>
      <c r="M43" s="321"/>
      <c r="AA43" s="880"/>
      <c r="AB43" s="880"/>
      <c r="AC43" s="880"/>
      <c r="AD43" s="880"/>
    </row>
    <row r="44" spans="1:30" s="8" customFormat="1" ht="21" x14ac:dyDescent="0.4">
      <c r="A44" s="555"/>
      <c r="B44" s="350"/>
      <c r="C44" s="336"/>
      <c r="D44" s="332"/>
      <c r="E44" s="324"/>
      <c r="F44" s="338"/>
      <c r="G44" s="151"/>
      <c r="H44" s="339"/>
      <c r="I44" s="151"/>
      <c r="J44" s="298"/>
      <c r="K44" s="151"/>
      <c r="L44" s="329"/>
      <c r="M44" s="321"/>
    </row>
    <row r="45" spans="1:30" s="8" customFormat="1" ht="43.05" customHeight="1" x14ac:dyDescent="0.3">
      <c r="A45" s="555"/>
      <c r="B45" s="947" t="s">
        <v>151</v>
      </c>
      <c r="C45" s="948"/>
      <c r="D45" s="948"/>
      <c r="E45" s="324"/>
      <c r="F45" s="338"/>
      <c r="G45" s="151"/>
      <c r="H45" s="339"/>
      <c r="I45" s="151"/>
      <c r="J45" s="298"/>
      <c r="K45" s="151"/>
      <c r="L45" s="329"/>
      <c r="M45" s="321"/>
    </row>
    <row r="46" spans="1:30" ht="21" x14ac:dyDescent="0.4">
      <c r="B46" s="350"/>
      <c r="C46" s="838" t="s">
        <v>264</v>
      </c>
      <c r="D46" s="833"/>
      <c r="E46" s="324"/>
      <c r="F46" s="338">
        <f>IF('Gårdens info'!$D$10&gt;0,J46/'Gårdens info'!$D$10,0)</f>
        <v>48.452380952380949</v>
      </c>
      <c r="G46" s="151" t="s">
        <v>14</v>
      </c>
      <c r="H46" s="613">
        <f>IF('Gårdens info'!$G$10&gt;0,F46/'Gårdens info'!$G$10,0)</f>
        <v>8.0753968253968245E-4</v>
      </c>
      <c r="I46" s="151" t="s">
        <v>6</v>
      </c>
      <c r="J46" s="298">
        <f>Ägendom!AI76</f>
        <v>48.452380952380949</v>
      </c>
      <c r="K46" s="151" t="s">
        <v>242</v>
      </c>
      <c r="L46" s="329"/>
      <c r="M46" s="321"/>
      <c r="N46" s="8"/>
      <c r="O46" s="8"/>
      <c r="P46" s="8"/>
      <c r="Q46" s="8"/>
      <c r="R46" s="8"/>
      <c r="S46" s="8"/>
      <c r="T46" s="8"/>
      <c r="U46" s="8"/>
    </row>
    <row r="47" spans="1:30" s="8" customFormat="1" ht="21" x14ac:dyDescent="0.4">
      <c r="A47" s="555"/>
      <c r="B47" s="350"/>
      <c r="C47" s="838" t="s">
        <v>265</v>
      </c>
      <c r="D47" s="833"/>
      <c r="E47" s="324"/>
      <c r="F47" s="338">
        <f>IF('Gårdens info'!$D$10&gt;0,J47/'Gårdens info'!$D$10,0)</f>
        <v>4.9702380952380949</v>
      </c>
      <c r="G47" s="151" t="s">
        <v>14</v>
      </c>
      <c r="H47" s="613">
        <f>IF('Gårdens info'!$G$10&gt;0,F47/'Gårdens info'!$G$10,0)</f>
        <v>8.283730158730158E-5</v>
      </c>
      <c r="I47" s="151" t="s">
        <v>6</v>
      </c>
      <c r="J47" s="298">
        <f>Ägendom!BE76</f>
        <v>4.9702380952380949</v>
      </c>
      <c r="K47" s="151" t="s">
        <v>242</v>
      </c>
      <c r="L47" s="329"/>
      <c r="M47" s="321"/>
    </row>
    <row r="48" spans="1:30" s="8" customFormat="1" ht="17.399999999999999" customHeight="1" x14ac:dyDescent="0.3">
      <c r="A48" s="555"/>
      <c r="B48" s="350"/>
      <c r="C48" s="941" t="s">
        <v>266</v>
      </c>
      <c r="D48" s="941"/>
      <c r="E48" s="324"/>
      <c r="F48" s="338">
        <f>IF('Gårdens info'!$D$10&gt;0,J48/'Gårdens info'!$D$10,0)</f>
        <v>35.607142857142847</v>
      </c>
      <c r="G48" s="151" t="s">
        <v>14</v>
      </c>
      <c r="H48" s="613">
        <f>IF('Gårdens info'!$G$10&gt;0,F48/'Gårdens info'!$G$10,0)</f>
        <v>5.9345238095238082E-4</v>
      </c>
      <c r="I48" s="151" t="s">
        <v>6</v>
      </c>
      <c r="J48" s="298">
        <f>Ägendom!CA76</f>
        <v>35.607142857142847</v>
      </c>
      <c r="K48" s="151" t="s">
        <v>242</v>
      </c>
      <c r="L48" s="329"/>
      <c r="M48" s="321"/>
      <c r="N48"/>
      <c r="O48"/>
      <c r="P48"/>
      <c r="Q48"/>
      <c r="R48"/>
      <c r="S48"/>
      <c r="T48"/>
      <c r="U48"/>
    </row>
    <row r="49" spans="1:13" s="8" customFormat="1" ht="21" x14ac:dyDescent="0.4">
      <c r="A49" s="555"/>
      <c r="B49" s="350"/>
      <c r="C49" s="838" t="s">
        <v>267</v>
      </c>
      <c r="D49" s="833"/>
      <c r="E49" s="324"/>
      <c r="F49" s="338">
        <f>IF('Gårdens info'!$D$10&gt;0,J49/'Gårdens info'!$D$10,0)</f>
        <v>1.4242857142857142</v>
      </c>
      <c r="G49" s="151" t="s">
        <v>14</v>
      </c>
      <c r="H49" s="613">
        <f>IF('Gårdens info'!$G$10&gt;0,F49/'Gårdens info'!$G$10,0)</f>
        <v>2.3738095238095238E-5</v>
      </c>
      <c r="I49" s="151" t="s">
        <v>6</v>
      </c>
      <c r="J49" s="298">
        <f>Ägendom!CW76</f>
        <v>1.4242857142857142</v>
      </c>
      <c r="K49" s="151" t="s">
        <v>242</v>
      </c>
      <c r="L49" s="329"/>
      <c r="M49" s="321"/>
    </row>
    <row r="50" spans="1:13" s="8" customFormat="1" ht="20.399999999999999" x14ac:dyDescent="0.35">
      <c r="A50" s="555"/>
      <c r="B50" s="352"/>
      <c r="C50" s="340" t="s">
        <v>196</v>
      </c>
      <c r="D50" s="341"/>
      <c r="E50" s="324"/>
      <c r="F50" s="342">
        <f>SUM(F46:F49)</f>
        <v>90.454047619047614</v>
      </c>
      <c r="G50" s="151" t="s">
        <v>14</v>
      </c>
      <c r="H50" s="727">
        <f>SUM(H46:H49)</f>
        <v>1.5075674603174602E-3</v>
      </c>
      <c r="I50" s="151" t="s">
        <v>6</v>
      </c>
      <c r="J50" s="342">
        <f t="shared" ref="J50" si="6">SUM(J46:J49)</f>
        <v>90.454047619047614</v>
      </c>
      <c r="K50" s="151" t="s">
        <v>242</v>
      </c>
      <c r="L50" s="343"/>
      <c r="M50" s="321"/>
    </row>
    <row r="51" spans="1:13" s="8" customFormat="1" ht="21" x14ac:dyDescent="0.4">
      <c r="A51" s="555"/>
      <c r="B51" s="350"/>
      <c r="C51" s="336"/>
      <c r="D51" s="332"/>
      <c r="E51" s="324"/>
      <c r="F51" s="338"/>
      <c r="G51" s="151"/>
      <c r="H51" s="339"/>
      <c r="I51" s="151"/>
      <c r="J51" s="298"/>
      <c r="K51" s="151"/>
      <c r="L51" s="329"/>
      <c r="M51" s="321"/>
    </row>
    <row r="52" spans="1:13" s="8" customFormat="1" ht="21" x14ac:dyDescent="0.4">
      <c r="A52" s="555"/>
      <c r="B52" s="951" t="s">
        <v>160</v>
      </c>
      <c r="C52" s="952"/>
      <c r="D52" s="332"/>
      <c r="E52" s="324"/>
      <c r="F52" s="338"/>
      <c r="G52" s="151"/>
      <c r="H52" s="339"/>
      <c r="I52" s="151"/>
      <c r="J52" s="298"/>
      <c r="K52" s="151"/>
      <c r="L52" s="329"/>
      <c r="M52" s="321"/>
    </row>
    <row r="53" spans="1:13" s="8" customFormat="1" ht="21" x14ac:dyDescent="0.4">
      <c r="A53" s="555"/>
      <c r="B53" s="350"/>
      <c r="C53" s="336" t="s">
        <v>264</v>
      </c>
      <c r="D53" s="332"/>
      <c r="E53" s="324"/>
      <c r="F53" s="338">
        <f>IF('Gårdens info'!$D$10&gt;0,J53/'Gårdens info'!$D$10,0)</f>
        <v>0</v>
      </c>
      <c r="G53" s="151" t="s">
        <v>14</v>
      </c>
      <c r="H53" s="613">
        <f>IF('Gårdens info'!$G$10&gt;0,F53/'Gårdens info'!$G$10,0)</f>
        <v>0</v>
      </c>
      <c r="I53" s="151" t="s">
        <v>6</v>
      </c>
      <c r="J53" s="298">
        <f>Ägendom!AI79</f>
        <v>0</v>
      </c>
      <c r="K53" s="151" t="s">
        <v>242</v>
      </c>
      <c r="L53" s="329"/>
      <c r="M53" s="321"/>
    </row>
    <row r="54" spans="1:13" s="8" customFormat="1" ht="19.95" customHeight="1" x14ac:dyDescent="0.4">
      <c r="A54" s="555"/>
      <c r="B54" s="350"/>
      <c r="C54" s="336" t="s">
        <v>265</v>
      </c>
      <c r="D54" s="332"/>
      <c r="E54" s="324"/>
      <c r="F54" s="338">
        <f>IF('Gårdens info'!$D$10&gt;0,J54/'Gårdens info'!$D$10,0)</f>
        <v>0</v>
      </c>
      <c r="G54" s="151" t="s">
        <v>14</v>
      </c>
      <c r="H54" s="613">
        <f>IF('Gårdens info'!$G$10&gt;0,F54/'Gårdens info'!$G$10,0)</f>
        <v>0</v>
      </c>
      <c r="I54" s="151" t="s">
        <v>6</v>
      </c>
      <c r="J54" s="298">
        <f>Ägendom!BE79</f>
        <v>0</v>
      </c>
      <c r="K54" s="151" t="s">
        <v>242</v>
      </c>
      <c r="L54" s="329"/>
      <c r="M54" s="321"/>
    </row>
    <row r="55" spans="1:13" s="8" customFormat="1" ht="17.399999999999999" x14ac:dyDescent="0.3">
      <c r="A55" s="555"/>
      <c r="B55" s="350"/>
      <c r="C55" s="941" t="s">
        <v>266</v>
      </c>
      <c r="D55" s="941"/>
      <c r="E55" s="324"/>
      <c r="F55" s="338">
        <f>IF('Gårdens info'!$D$10&gt;0,J55/'Gårdens info'!$D$10,0)</f>
        <v>22.222222222222221</v>
      </c>
      <c r="G55" s="151" t="s">
        <v>14</v>
      </c>
      <c r="H55" s="613">
        <f>IF('Gårdens info'!$G$10&gt;0,F55/'Gårdens info'!$G$10,0)</f>
        <v>3.7037037037037035E-4</v>
      </c>
      <c r="I55" s="151" t="s">
        <v>6</v>
      </c>
      <c r="J55" s="298">
        <f>Ägendom!CA79</f>
        <v>22.222222222222221</v>
      </c>
      <c r="K55" s="151" t="s">
        <v>242</v>
      </c>
      <c r="L55" s="329"/>
      <c r="M55" s="321"/>
    </row>
    <row r="56" spans="1:13" s="8" customFormat="1" ht="15.6" x14ac:dyDescent="0.3">
      <c r="A56" s="555"/>
      <c r="B56" s="349"/>
      <c r="C56" s="323" t="s">
        <v>196</v>
      </c>
      <c r="D56" s="323"/>
      <c r="E56" s="323"/>
      <c r="F56" s="342">
        <f>SUM(F53:F55)</f>
        <v>22.222222222222221</v>
      </c>
      <c r="G56" s="151" t="s">
        <v>14</v>
      </c>
      <c r="H56" s="727">
        <f>SUM(H53:H55)</f>
        <v>3.7037037037037035E-4</v>
      </c>
      <c r="I56" s="151" t="s">
        <v>6</v>
      </c>
      <c r="J56" s="342">
        <f t="shared" ref="J56" si="7">SUM(J53:J55)</f>
        <v>22.222222222222221</v>
      </c>
      <c r="K56" s="151" t="s">
        <v>242</v>
      </c>
      <c r="L56" s="347"/>
      <c r="M56" s="353"/>
    </row>
    <row r="57" spans="1:13" s="8" customFormat="1" ht="21" x14ac:dyDescent="0.4">
      <c r="A57" s="555"/>
      <c r="B57" s="932" t="s">
        <v>229</v>
      </c>
      <c r="C57" s="933"/>
      <c r="D57" s="933"/>
      <c r="E57" s="324"/>
      <c r="F57" s="328">
        <f>F36+F43+F50+F56</f>
        <v>9261.4997266313931</v>
      </c>
      <c r="G57" s="329" t="s">
        <v>14</v>
      </c>
      <c r="H57" s="618">
        <f>H36+H43+H50+H56</f>
        <v>0.15435832877718991</v>
      </c>
      <c r="I57" s="329" t="s">
        <v>6</v>
      </c>
      <c r="J57" s="331">
        <f>J36+J43+J50+J56</f>
        <v>9261.4997266313931</v>
      </c>
      <c r="K57" s="329" t="s">
        <v>242</v>
      </c>
      <c r="L57" s="329"/>
      <c r="M57" s="321"/>
    </row>
    <row r="58" spans="1:13" s="8" customFormat="1" ht="15.6" x14ac:dyDescent="0.3">
      <c r="A58" s="555"/>
      <c r="B58" s="349"/>
      <c r="C58" s="324"/>
      <c r="D58" s="324"/>
      <c r="E58" s="324"/>
      <c r="F58" s="325"/>
      <c r="G58" s="304"/>
      <c r="H58" s="326"/>
      <c r="I58" s="304"/>
      <c r="J58" s="320"/>
      <c r="K58" s="304"/>
      <c r="L58" s="327"/>
      <c r="M58" s="321"/>
    </row>
    <row r="59" spans="1:13" s="8" customFormat="1" ht="21" x14ac:dyDescent="0.4">
      <c r="A59" s="555"/>
      <c r="B59" s="319" t="s">
        <v>230</v>
      </c>
      <c r="C59" s="324"/>
      <c r="D59" s="324"/>
      <c r="E59" s="324"/>
      <c r="F59" s="325"/>
      <c r="G59" s="304"/>
      <c r="H59" s="326"/>
      <c r="I59" s="304"/>
      <c r="J59" s="320"/>
      <c r="K59" s="304"/>
      <c r="L59" s="327"/>
      <c r="M59" s="321"/>
    </row>
    <row r="60" spans="1:13" s="8" customFormat="1" ht="15" x14ac:dyDescent="0.25">
      <c r="A60" s="555"/>
      <c r="B60" s="296"/>
      <c r="C60" s="289" t="s">
        <v>230</v>
      </c>
      <c r="D60" s="297"/>
      <c r="E60" s="297"/>
      <c r="F60" s="298">
        <f>IF('Gårdens info'!D10&gt;0,H173,0)</f>
        <v>2160.5</v>
      </c>
      <c r="G60" s="151" t="s">
        <v>14</v>
      </c>
      <c r="H60" s="614">
        <f>IF('Gårdens info'!G10&gt;0,F60/'Gårdens info'!$G$10,0)</f>
        <v>3.6008333333333337E-2</v>
      </c>
      <c r="I60" s="151" t="s">
        <v>6</v>
      </c>
      <c r="J60" s="298">
        <f>F60*'Gårdens info'!D10</f>
        <v>2160.5</v>
      </c>
      <c r="K60" s="151" t="s">
        <v>242</v>
      </c>
      <c r="L60" s="297"/>
      <c r="M60" s="300"/>
    </row>
    <row r="61" spans="1:13" s="8" customFormat="1" ht="17.399999999999999" x14ac:dyDescent="0.3">
      <c r="A61" s="555"/>
      <c r="B61" s="309"/>
      <c r="C61" s="306"/>
      <c r="D61" s="310"/>
      <c r="E61" s="310"/>
      <c r="F61" s="311"/>
      <c r="G61" s="153"/>
      <c r="H61" s="310"/>
      <c r="I61" s="310"/>
      <c r="J61" s="310"/>
      <c r="K61" s="310"/>
      <c r="L61" s="310"/>
      <c r="M61" s="295"/>
    </row>
    <row r="62" spans="1:13" s="8" customFormat="1" ht="21" x14ac:dyDescent="0.4">
      <c r="A62" s="555"/>
      <c r="B62" s="932" t="s">
        <v>231</v>
      </c>
      <c r="C62" s="933"/>
      <c r="D62" s="933"/>
      <c r="E62" s="324"/>
      <c r="F62" s="328">
        <f>F60</f>
        <v>2160.5</v>
      </c>
      <c r="G62" s="329" t="s">
        <v>14</v>
      </c>
      <c r="H62" s="618">
        <f>H60</f>
        <v>3.6008333333333337E-2</v>
      </c>
      <c r="I62" s="329" t="s">
        <v>6</v>
      </c>
      <c r="J62" s="331">
        <f>J60</f>
        <v>2160.5</v>
      </c>
      <c r="K62" s="329" t="s">
        <v>242</v>
      </c>
      <c r="L62" s="329"/>
      <c r="M62" s="321"/>
    </row>
    <row r="63" spans="1:13" s="8" customFormat="1" ht="21" x14ac:dyDescent="0.4">
      <c r="A63" s="555"/>
      <c r="B63" s="689"/>
      <c r="C63" s="690"/>
      <c r="D63" s="690"/>
      <c r="E63" s="324"/>
      <c r="F63" s="328"/>
      <c r="G63" s="329"/>
      <c r="H63" s="618"/>
      <c r="I63" s="329"/>
      <c r="J63" s="331"/>
      <c r="K63" s="329"/>
      <c r="L63" s="329"/>
      <c r="M63" s="321"/>
    </row>
    <row r="64" spans="1:13" s="8" customFormat="1" ht="21" x14ac:dyDescent="0.4">
      <c r="A64" s="555"/>
      <c r="B64" s="932" t="s">
        <v>268</v>
      </c>
      <c r="C64" s="933"/>
      <c r="D64" s="933"/>
      <c r="E64" s="324"/>
      <c r="F64" s="328">
        <f>F28+F57+F62</f>
        <v>18282.106985890652</v>
      </c>
      <c r="G64" s="329" t="s">
        <v>14</v>
      </c>
      <c r="H64" s="705">
        <f>H28+H57+H62</f>
        <v>0.30470178309817753</v>
      </c>
      <c r="I64" s="329" t="s">
        <v>6</v>
      </c>
      <c r="J64" s="328">
        <f>J28+J57+J62</f>
        <v>18282.106985890652</v>
      </c>
      <c r="K64" s="329" t="s">
        <v>242</v>
      </c>
      <c r="L64" s="329"/>
      <c r="M64" s="321"/>
    </row>
    <row r="65" spans="1:21" s="8" customFormat="1" ht="21" x14ac:dyDescent="0.4">
      <c r="A65" s="555"/>
      <c r="B65" s="351"/>
      <c r="C65" s="332"/>
      <c r="D65" s="332"/>
      <c r="E65" s="324"/>
      <c r="F65" s="328"/>
      <c r="G65" s="329"/>
      <c r="H65" s="330"/>
      <c r="I65" s="329"/>
      <c r="J65" s="331"/>
      <c r="K65" s="329"/>
      <c r="L65" s="329"/>
      <c r="M65" s="321"/>
    </row>
    <row r="66" spans="1:21" s="8" customFormat="1" ht="21.6" thickBot="1" x14ac:dyDescent="0.45">
      <c r="A66" s="555"/>
      <c r="B66" s="936" t="s">
        <v>269</v>
      </c>
      <c r="C66" s="937"/>
      <c r="D66" s="937"/>
      <c r="E66" s="315"/>
      <c r="F66" s="355">
        <f>F11-F28-F57-F62</f>
        <v>35957.893014109344</v>
      </c>
      <c r="G66" s="356" t="s">
        <v>14</v>
      </c>
      <c r="H66" s="621">
        <f>H11-H28-H57-H62</f>
        <v>0.5992982169018225</v>
      </c>
      <c r="I66" s="356" t="s">
        <v>6</v>
      </c>
      <c r="J66" s="355">
        <f>J11-J28-J57-J62</f>
        <v>35957.893014109344</v>
      </c>
      <c r="K66" s="356" t="s">
        <v>242</v>
      </c>
      <c r="L66" s="356"/>
      <c r="M66" s="316"/>
    </row>
    <row r="67" spans="1:21" s="8" customFormat="1" ht="21" x14ac:dyDescent="0.4">
      <c r="A67" s="555"/>
      <c r="B67" s="76"/>
      <c r="C67"/>
      <c r="D67"/>
      <c r="E67"/>
      <c r="F67"/>
      <c r="G67"/>
      <c r="H67"/>
      <c r="I67"/>
      <c r="J67"/>
      <c r="K67"/>
      <c r="L67"/>
      <c r="M67"/>
    </row>
    <row r="68" spans="1:21" s="239" customFormat="1" ht="16.2" thickBot="1" x14ac:dyDescent="0.35">
      <c r="A68" s="559"/>
      <c r="B68"/>
      <c r="C68"/>
      <c r="D68"/>
      <c r="E68"/>
      <c r="F68"/>
      <c r="G68"/>
      <c r="H68"/>
      <c r="I68"/>
      <c r="J68"/>
      <c r="K68"/>
      <c r="L68"/>
      <c r="M68"/>
      <c r="N68" s="8"/>
      <c r="O68" s="8"/>
      <c r="P68" s="8"/>
      <c r="Q68" s="8"/>
      <c r="R68" s="8"/>
      <c r="S68" s="8"/>
      <c r="T68" s="8"/>
      <c r="U68" s="8"/>
    </row>
    <row r="69" spans="1:21" s="8" customFormat="1" ht="21.6" thickBot="1" x14ac:dyDescent="0.45">
      <c r="A69" s="555"/>
      <c r="B69" s="953" t="s">
        <v>270</v>
      </c>
      <c r="C69" s="954"/>
      <c r="D69" s="954"/>
      <c r="E69" s="955"/>
      <c r="F69"/>
      <c r="G69"/>
      <c r="H69"/>
      <c r="I69"/>
      <c r="J69"/>
      <c r="K69"/>
      <c r="L69" s="956" t="s">
        <v>271</v>
      </c>
      <c r="M69" s="956"/>
    </row>
    <row r="70" spans="1:21" s="8" customFormat="1" ht="21" x14ac:dyDescent="0.4">
      <c r="A70" s="555"/>
      <c r="B70" s="401"/>
      <c r="C70" s="401"/>
      <c r="D70" s="401"/>
      <c r="E70" s="401"/>
      <c r="F70" s="534"/>
      <c r="G70" s="534"/>
      <c r="H70" s="534"/>
      <c r="I70" s="534"/>
      <c r="J70" s="534"/>
      <c r="K70" s="534"/>
      <c r="L70" s="564"/>
      <c r="M70" s="564"/>
    </row>
    <row r="71" spans="1:21" ht="15.6" x14ac:dyDescent="0.3">
      <c r="B71" s="113" t="s">
        <v>272</v>
      </c>
      <c r="C71" s="65"/>
      <c r="D71" s="65"/>
      <c r="E71" s="65"/>
      <c r="F71" s="959" t="s">
        <v>159</v>
      </c>
      <c r="G71" s="959"/>
      <c r="H71" s="959" t="s">
        <v>158</v>
      </c>
      <c r="I71" s="959"/>
      <c r="J71" s="959" t="s">
        <v>273</v>
      </c>
      <c r="K71" s="959"/>
      <c r="L71" s="143" t="s">
        <v>274</v>
      </c>
      <c r="M71" s="67"/>
    </row>
    <row r="72" spans="1:21" ht="13.8" thickBot="1" x14ac:dyDescent="0.3">
      <c r="B72" s="69"/>
      <c r="C72" s="65"/>
      <c r="D72" s="65"/>
      <c r="E72" s="65"/>
      <c r="F72" s="65"/>
      <c r="G72" s="65"/>
      <c r="H72" s="65"/>
      <c r="I72" s="65"/>
      <c r="J72" s="67"/>
      <c r="K72" s="67"/>
      <c r="L72" s="67"/>
      <c r="M72" s="67"/>
    </row>
    <row r="73" spans="1:21" ht="13.8" thickBot="1" x14ac:dyDescent="0.3">
      <c r="B73" s="65"/>
      <c r="C73" s="66" t="s">
        <v>202</v>
      </c>
      <c r="D73" s="67"/>
      <c r="E73" s="65"/>
      <c r="F73" s="96">
        <v>1000000</v>
      </c>
      <c r="G73" s="65" t="s">
        <v>29</v>
      </c>
      <c r="H73" s="96">
        <v>6.9999999999999999E-4</v>
      </c>
      <c r="I73" s="70" t="s">
        <v>152</v>
      </c>
      <c r="J73" s="235">
        <f>F73*H73</f>
        <v>700</v>
      </c>
      <c r="K73" s="65" t="s">
        <v>14</v>
      </c>
      <c r="L73" s="65"/>
      <c r="M73" s="67"/>
    </row>
    <row r="74" spans="1:21" s="8" customFormat="1" x14ac:dyDescent="0.25">
      <c r="A74" s="555"/>
      <c r="B74" s="71"/>
      <c r="C74" s="71" t="s">
        <v>196</v>
      </c>
      <c r="D74" s="572"/>
      <c r="E74" s="71"/>
      <c r="F74" s="277"/>
      <c r="G74" s="573"/>
      <c r="H74" s="574"/>
      <c r="I74" s="279"/>
      <c r="J74" s="280"/>
      <c r="K74" s="71"/>
      <c r="L74" s="71"/>
      <c r="M74" s="71"/>
    </row>
    <row r="75" spans="1:21" x14ac:dyDescent="0.25">
      <c r="B75" s="535"/>
      <c r="C75" s="535"/>
      <c r="D75" s="569"/>
      <c r="E75" s="535"/>
      <c r="F75" s="570"/>
      <c r="G75" s="535"/>
      <c r="H75" s="307"/>
      <c r="I75" s="537"/>
      <c r="J75" s="571"/>
      <c r="K75" s="535"/>
      <c r="L75" s="534"/>
      <c r="M75" s="534"/>
    </row>
    <row r="76" spans="1:21" s="8" customFormat="1" ht="15.6" x14ac:dyDescent="0.3">
      <c r="A76" s="555"/>
      <c r="B76" s="120" t="s">
        <v>275</v>
      </c>
      <c r="C76" s="121"/>
      <c r="D76" s="121"/>
      <c r="E76" s="121"/>
      <c r="F76" s="960" t="s">
        <v>159</v>
      </c>
      <c r="G76" s="960"/>
      <c r="H76" s="960" t="s">
        <v>158</v>
      </c>
      <c r="I76" s="960"/>
      <c r="J76" s="960" t="s">
        <v>273</v>
      </c>
      <c r="K76" s="960"/>
      <c r="L76" s="123"/>
      <c r="M76" s="123"/>
    </row>
    <row r="77" spans="1:21" s="77" customFormat="1" ht="18" thickBot="1" x14ac:dyDescent="0.35">
      <c r="A77" s="556"/>
      <c r="B77" s="121"/>
      <c r="C77" s="121"/>
      <c r="D77" s="121"/>
      <c r="E77" s="121"/>
      <c r="F77" s="121"/>
      <c r="G77" s="121"/>
      <c r="H77" s="122"/>
      <c r="I77" s="122"/>
      <c r="J77" s="123"/>
      <c r="K77" s="123"/>
      <c r="L77" s="123"/>
      <c r="M77" s="123"/>
      <c r="N77" s="8"/>
      <c r="O77" s="8"/>
      <c r="P77" s="8"/>
      <c r="Q77" s="8"/>
      <c r="R77" s="8"/>
      <c r="S77" s="8"/>
      <c r="T77" s="8"/>
      <c r="U77" s="8"/>
    </row>
    <row r="78" spans="1:21" s="91" customFormat="1" ht="15.6" thickBot="1" x14ac:dyDescent="0.3">
      <c r="A78" s="557"/>
      <c r="B78" s="121"/>
      <c r="C78" s="121" t="s">
        <v>276</v>
      </c>
      <c r="D78" s="123"/>
      <c r="E78" s="121"/>
      <c r="F78" s="118">
        <v>600</v>
      </c>
      <c r="G78" s="121" t="s">
        <v>21</v>
      </c>
      <c r="H78" s="99">
        <v>0.75</v>
      </c>
      <c r="I78" s="122" t="s">
        <v>6</v>
      </c>
      <c r="J78" s="124">
        <f>F78*H78</f>
        <v>450</v>
      </c>
      <c r="K78" s="121" t="s">
        <v>14</v>
      </c>
      <c r="L78" s="123"/>
      <c r="M78" s="123"/>
      <c r="N78" s="8"/>
      <c r="O78" s="8"/>
      <c r="P78" s="8"/>
      <c r="Q78" s="8"/>
      <c r="R78" s="8"/>
      <c r="S78" s="8"/>
      <c r="T78" s="8"/>
      <c r="U78" s="8"/>
    </row>
    <row r="79" spans="1:21" s="8" customFormat="1" ht="18" thickBot="1" x14ac:dyDescent="0.35">
      <c r="A79" s="555"/>
      <c r="B79" s="121"/>
      <c r="C79" s="121" t="s">
        <v>277</v>
      </c>
      <c r="D79" s="123"/>
      <c r="E79" s="121"/>
      <c r="F79" s="118">
        <v>200</v>
      </c>
      <c r="G79" s="121" t="s">
        <v>21</v>
      </c>
      <c r="H79" s="99">
        <v>0.59</v>
      </c>
      <c r="I79" s="122" t="s">
        <v>6</v>
      </c>
      <c r="J79" s="124">
        <f t="shared" ref="J79:J83" si="8">F79*H79</f>
        <v>118</v>
      </c>
      <c r="K79" s="121" t="s">
        <v>14</v>
      </c>
      <c r="L79" s="123"/>
      <c r="M79" s="123"/>
      <c r="N79" s="77"/>
      <c r="O79" s="77"/>
      <c r="P79" s="77"/>
      <c r="Q79" s="77"/>
      <c r="R79" s="77"/>
      <c r="S79" s="77"/>
      <c r="T79" s="77"/>
      <c r="U79" s="77"/>
    </row>
    <row r="80" spans="1:21" s="77" customFormat="1" ht="18" thickBot="1" x14ac:dyDescent="0.35">
      <c r="A80" s="556"/>
      <c r="B80" s="121"/>
      <c r="C80" s="121" t="s">
        <v>278</v>
      </c>
      <c r="D80" s="123"/>
      <c r="E80" s="121"/>
      <c r="F80" s="96">
        <v>200</v>
      </c>
      <c r="G80" s="121" t="s">
        <v>21</v>
      </c>
      <c r="H80" s="99">
        <v>0.4</v>
      </c>
      <c r="I80" s="122" t="s">
        <v>6</v>
      </c>
      <c r="J80" s="124">
        <f t="shared" si="8"/>
        <v>80</v>
      </c>
      <c r="K80" s="121" t="s">
        <v>14</v>
      </c>
      <c r="L80" s="123"/>
      <c r="M80" s="123"/>
      <c r="N80" s="91"/>
      <c r="O80" s="91"/>
      <c r="P80" s="91"/>
      <c r="Q80" s="91"/>
      <c r="R80" s="91"/>
      <c r="S80" s="91"/>
      <c r="T80" s="91"/>
      <c r="U80" s="91"/>
    </row>
    <row r="81" spans="1:21" s="91" customFormat="1" ht="15.6" thickBot="1" x14ac:dyDescent="0.3">
      <c r="A81" s="557"/>
      <c r="B81" s="121"/>
      <c r="C81" s="121" t="s">
        <v>279</v>
      </c>
      <c r="D81" s="123"/>
      <c r="E81" s="121"/>
      <c r="F81" s="96">
        <v>1400</v>
      </c>
      <c r="G81" s="121" t="s">
        <v>21</v>
      </c>
      <c r="H81" s="99">
        <v>0.46</v>
      </c>
      <c r="I81" s="122" t="s">
        <v>6</v>
      </c>
      <c r="J81" s="124">
        <f t="shared" si="8"/>
        <v>644</v>
      </c>
      <c r="K81" s="121" t="s">
        <v>14</v>
      </c>
      <c r="L81" s="123"/>
      <c r="M81" s="123"/>
      <c r="N81" s="8"/>
      <c r="O81" s="8"/>
      <c r="P81" s="8"/>
      <c r="Q81" s="8"/>
      <c r="R81" s="8"/>
      <c r="S81" s="8"/>
      <c r="T81" s="8"/>
      <c r="U81" s="8"/>
    </row>
    <row r="82" spans="1:21" s="77" customFormat="1" ht="18" thickBot="1" x14ac:dyDescent="0.35">
      <c r="A82" s="556"/>
      <c r="B82" s="121"/>
      <c r="C82" s="121" t="s">
        <v>280</v>
      </c>
      <c r="D82" s="121"/>
      <c r="E82" s="121"/>
      <c r="F82" s="96"/>
      <c r="G82" s="121" t="s">
        <v>21</v>
      </c>
      <c r="H82" s="99"/>
      <c r="I82" s="122" t="s">
        <v>6</v>
      </c>
      <c r="J82" s="124">
        <f t="shared" si="8"/>
        <v>0</v>
      </c>
      <c r="K82" s="121" t="s">
        <v>14</v>
      </c>
      <c r="L82" s="123"/>
      <c r="M82" s="123"/>
    </row>
    <row r="83" spans="1:21" ht="15.6" thickBot="1" x14ac:dyDescent="0.3">
      <c r="B83" s="121"/>
      <c r="C83" s="121" t="s">
        <v>280</v>
      </c>
      <c r="D83" s="121"/>
      <c r="E83" s="121"/>
      <c r="F83" s="96"/>
      <c r="G83" s="121" t="s">
        <v>21</v>
      </c>
      <c r="H83" s="99"/>
      <c r="I83" s="122" t="s">
        <v>6</v>
      </c>
      <c r="J83" s="124">
        <f t="shared" si="8"/>
        <v>0</v>
      </c>
      <c r="K83" s="121" t="s">
        <v>14</v>
      </c>
      <c r="L83" s="123"/>
      <c r="M83" s="123"/>
      <c r="N83" s="91"/>
      <c r="O83" s="91"/>
      <c r="P83" s="91"/>
      <c r="Q83" s="91"/>
      <c r="R83" s="91"/>
      <c r="S83" s="91"/>
      <c r="T83" s="91"/>
      <c r="U83" s="91"/>
    </row>
    <row r="84" spans="1:21" s="91" customFormat="1" ht="17.399999999999999" x14ac:dyDescent="0.3">
      <c r="A84" s="557"/>
      <c r="B84" s="270"/>
      <c r="C84" s="270" t="s">
        <v>222</v>
      </c>
      <c r="D84" s="270"/>
      <c r="E84" s="270"/>
      <c r="F84" s="270"/>
      <c r="G84" s="270"/>
      <c r="H84" s="270"/>
      <c r="I84" s="271"/>
      <c r="J84" s="272">
        <f>SUM(J78:J83)</f>
        <v>1292</v>
      </c>
      <c r="K84" s="270" t="s">
        <v>14</v>
      </c>
      <c r="L84" s="270"/>
      <c r="M84" s="270"/>
      <c r="N84" s="77"/>
      <c r="O84" s="77"/>
      <c r="P84" s="77"/>
      <c r="Q84" s="77"/>
      <c r="R84" s="77"/>
      <c r="S84" s="77"/>
      <c r="T84" s="77"/>
      <c r="U84" s="77"/>
    </row>
    <row r="85" spans="1:21" s="8" customFormat="1" x14ac:dyDescent="0.25">
      <c r="A85" s="555"/>
      <c r="B85" s="121"/>
      <c r="C85" s="121"/>
      <c r="D85" s="121"/>
      <c r="E85" s="121"/>
      <c r="F85" s="121"/>
      <c r="G85" s="121"/>
      <c r="H85" s="121"/>
      <c r="I85" s="122"/>
      <c r="J85" s="124"/>
      <c r="K85" s="121"/>
      <c r="L85" s="123"/>
      <c r="M85" s="123"/>
      <c r="N85"/>
      <c r="O85"/>
      <c r="P85"/>
      <c r="Q85"/>
      <c r="R85"/>
      <c r="S85"/>
      <c r="T85"/>
      <c r="U85"/>
    </row>
    <row r="86" spans="1:21" s="8" customFormat="1" ht="15" x14ac:dyDescent="0.25">
      <c r="A86" s="555"/>
      <c r="B86"/>
      <c r="C86"/>
      <c r="D86"/>
      <c r="E86"/>
      <c r="F86"/>
      <c r="G86"/>
      <c r="H86"/>
      <c r="I86"/>
      <c r="J86"/>
      <c r="K86"/>
      <c r="L86"/>
      <c r="M86"/>
      <c r="N86" s="91"/>
      <c r="O86" s="91"/>
      <c r="P86" s="91"/>
      <c r="Q86" s="91"/>
      <c r="R86" s="91"/>
      <c r="S86" s="91"/>
      <c r="T86" s="91"/>
      <c r="U86" s="91"/>
    </row>
    <row r="87" spans="1:21" s="8" customFormat="1" ht="15.6" x14ac:dyDescent="0.3">
      <c r="A87" s="555"/>
      <c r="B87" s="109" t="s">
        <v>282</v>
      </c>
      <c r="C87" s="72"/>
      <c r="D87" s="72"/>
      <c r="E87" s="72"/>
      <c r="F87" s="957" t="s">
        <v>159</v>
      </c>
      <c r="G87" s="957"/>
      <c r="H87" s="958" t="s">
        <v>158</v>
      </c>
      <c r="I87" s="958"/>
      <c r="J87" s="957" t="s">
        <v>273</v>
      </c>
      <c r="K87" s="957"/>
      <c r="L87" s="79"/>
      <c r="M87" s="79"/>
    </row>
    <row r="88" spans="1:21" x14ac:dyDescent="0.25">
      <c r="B88" s="72"/>
      <c r="C88" s="72"/>
      <c r="D88" s="72"/>
      <c r="E88" s="72"/>
      <c r="F88" s="74"/>
      <c r="G88" s="74"/>
      <c r="H88" s="73"/>
      <c r="I88" s="73"/>
      <c r="J88" s="73"/>
      <c r="K88" s="79"/>
      <c r="L88" s="79"/>
      <c r="M88" s="79"/>
      <c r="N88" s="8"/>
      <c r="O88" s="8"/>
      <c r="P88" s="8"/>
      <c r="Q88" s="8"/>
      <c r="R88" s="8"/>
      <c r="S88" s="8"/>
      <c r="T88" s="8"/>
      <c r="U88" s="8"/>
    </row>
    <row r="89" spans="1:21" ht="15.6" x14ac:dyDescent="0.3">
      <c r="B89" s="109"/>
      <c r="C89" s="72"/>
      <c r="D89" s="462" t="s">
        <v>364</v>
      </c>
      <c r="E89" s="72"/>
      <c r="F89" s="128"/>
      <c r="G89" s="128"/>
      <c r="H89" s="127"/>
      <c r="I89" s="127"/>
      <c r="J89" s="128"/>
      <c r="K89" s="128"/>
      <c r="L89" s="79"/>
      <c r="M89" s="79"/>
    </row>
    <row r="90" spans="1:21" ht="13.8" thickBot="1" x14ac:dyDescent="0.3">
      <c r="B90" s="214" t="s">
        <v>283</v>
      </c>
      <c r="C90" s="72"/>
      <c r="D90" s="72"/>
      <c r="E90" s="72"/>
      <c r="F90" s="74"/>
      <c r="G90" s="74"/>
      <c r="H90" s="73"/>
      <c r="I90" s="73"/>
      <c r="J90" s="79"/>
      <c r="K90" s="79"/>
      <c r="L90" s="79"/>
      <c r="M90" s="79"/>
    </row>
    <row r="91" spans="1:21" ht="13.8" thickBot="1" x14ac:dyDescent="0.3">
      <c r="B91" s="72"/>
      <c r="C91" s="72" t="s">
        <v>60</v>
      </c>
      <c r="D91" s="79"/>
      <c r="E91" s="72"/>
      <c r="F91" s="119">
        <v>3</v>
      </c>
      <c r="G91" s="74" t="s">
        <v>20</v>
      </c>
      <c r="H91" s="99">
        <v>26.8</v>
      </c>
      <c r="I91" s="73" t="s">
        <v>5</v>
      </c>
      <c r="J91" s="79">
        <f>F91*H91</f>
        <v>80.400000000000006</v>
      </c>
      <c r="K91" s="72" t="s">
        <v>14</v>
      </c>
      <c r="L91" s="79"/>
      <c r="M91" s="79"/>
    </row>
    <row r="92" spans="1:21" ht="13.8" thickBot="1" x14ac:dyDescent="0.3">
      <c r="B92" s="72"/>
      <c r="C92" s="72" t="s">
        <v>64</v>
      </c>
      <c r="D92" s="79"/>
      <c r="E92" s="72"/>
      <c r="F92" s="119">
        <v>0.2</v>
      </c>
      <c r="G92" s="74" t="s">
        <v>21</v>
      </c>
      <c r="H92" s="99">
        <v>47.45</v>
      </c>
      <c r="I92" s="73" t="s">
        <v>6</v>
      </c>
      <c r="J92" s="79">
        <f t="shared" ref="J92:J97" si="9">F92*H92</f>
        <v>9.49</v>
      </c>
      <c r="K92" s="72" t="s">
        <v>14</v>
      </c>
      <c r="L92" s="79"/>
      <c r="M92" s="79"/>
    </row>
    <row r="93" spans="1:21" ht="13.8" thickBot="1" x14ac:dyDescent="0.3">
      <c r="B93" s="72"/>
      <c r="C93" s="72" t="s">
        <v>65</v>
      </c>
      <c r="D93" s="79"/>
      <c r="E93" s="72"/>
      <c r="F93" s="119">
        <v>1</v>
      </c>
      <c r="G93" s="74" t="s">
        <v>20</v>
      </c>
      <c r="H93" s="99">
        <v>46.47</v>
      </c>
      <c r="I93" s="73" t="s">
        <v>5</v>
      </c>
      <c r="J93" s="79">
        <f t="shared" ref="J93:J95" si="10">F93*H93</f>
        <v>46.47</v>
      </c>
      <c r="K93" s="72" t="s">
        <v>14</v>
      </c>
      <c r="L93" s="79"/>
      <c r="M93" s="79"/>
    </row>
    <row r="94" spans="1:21" ht="13.8" thickBot="1" x14ac:dyDescent="0.3">
      <c r="B94" s="72"/>
      <c r="C94" s="72" t="s">
        <v>66</v>
      </c>
      <c r="D94" s="79"/>
      <c r="E94" s="72"/>
      <c r="F94" s="119">
        <v>0.6</v>
      </c>
      <c r="G94" s="74" t="s">
        <v>20</v>
      </c>
      <c r="H94" s="99">
        <v>20.48</v>
      </c>
      <c r="I94" s="73" t="s">
        <v>5</v>
      </c>
      <c r="J94" s="568">
        <f t="shared" ref="J94" si="11">F94*H94</f>
        <v>12.288</v>
      </c>
      <c r="K94" s="72" t="s">
        <v>14</v>
      </c>
      <c r="L94" s="79"/>
      <c r="M94" s="79"/>
    </row>
    <row r="95" spans="1:21" ht="13.8" thickBot="1" x14ac:dyDescent="0.3">
      <c r="B95" s="72"/>
      <c r="C95" s="72" t="s">
        <v>326</v>
      </c>
      <c r="D95" s="79"/>
      <c r="E95" s="72"/>
      <c r="F95" s="119"/>
      <c r="G95" s="74" t="s">
        <v>20</v>
      </c>
      <c r="H95" s="99"/>
      <c r="I95" s="73" t="s">
        <v>5</v>
      </c>
      <c r="J95" s="79">
        <f t="shared" si="10"/>
        <v>0</v>
      </c>
      <c r="K95" s="72" t="s">
        <v>14</v>
      </c>
      <c r="L95" s="79"/>
      <c r="M95" s="79"/>
    </row>
    <row r="96" spans="1:21" ht="13.8" thickBot="1" x14ac:dyDescent="0.3">
      <c r="B96" s="72"/>
      <c r="C96" s="72" t="s">
        <v>326</v>
      </c>
      <c r="D96" s="72"/>
      <c r="E96" s="72"/>
      <c r="F96" s="119"/>
      <c r="G96" s="74" t="s">
        <v>20</v>
      </c>
      <c r="H96" s="99"/>
      <c r="I96" s="73" t="s">
        <v>5</v>
      </c>
      <c r="J96" s="79">
        <f t="shared" si="9"/>
        <v>0</v>
      </c>
      <c r="K96" s="72" t="s">
        <v>14</v>
      </c>
      <c r="L96" s="79"/>
      <c r="M96" s="79"/>
    </row>
    <row r="97" spans="1:15" ht="13.8" thickBot="1" x14ac:dyDescent="0.3">
      <c r="B97" s="72"/>
      <c r="C97" s="72" t="s">
        <v>326</v>
      </c>
      <c r="D97" s="72"/>
      <c r="E97" s="72"/>
      <c r="F97" s="119"/>
      <c r="G97" s="74" t="s">
        <v>20</v>
      </c>
      <c r="H97" s="99"/>
      <c r="I97" s="73" t="s">
        <v>5</v>
      </c>
      <c r="J97" s="79">
        <f t="shared" si="9"/>
        <v>0</v>
      </c>
      <c r="K97" s="72" t="s">
        <v>14</v>
      </c>
      <c r="L97" s="79"/>
      <c r="M97" s="79"/>
    </row>
    <row r="98" spans="1:15" x14ac:dyDescent="0.25">
      <c r="B98" s="72"/>
      <c r="C98" s="72"/>
      <c r="D98" s="72"/>
      <c r="E98" s="72"/>
      <c r="F98" s="212"/>
      <c r="G98" s="74"/>
      <c r="H98" s="213"/>
      <c r="I98" s="73"/>
      <c r="J98" s="79"/>
      <c r="K98" s="72"/>
      <c r="L98" s="79"/>
      <c r="M98" s="79"/>
    </row>
    <row r="99" spans="1:15" ht="13.8" thickBot="1" x14ac:dyDescent="0.3">
      <c r="B99" s="214" t="s">
        <v>284</v>
      </c>
      <c r="C99" s="72"/>
      <c r="D99" s="72"/>
      <c r="E99" s="72"/>
      <c r="F99" s="212"/>
      <c r="G99" s="74"/>
      <c r="H99" s="213"/>
      <c r="I99" s="73"/>
      <c r="J99" s="79"/>
      <c r="K99" s="72"/>
      <c r="L99" s="79"/>
      <c r="M99" s="79"/>
    </row>
    <row r="100" spans="1:15" ht="13.8" thickBot="1" x14ac:dyDescent="0.3">
      <c r="B100" s="72"/>
      <c r="C100" s="72" t="s">
        <v>61</v>
      </c>
      <c r="D100" s="72"/>
      <c r="E100" s="72"/>
      <c r="F100" s="119">
        <v>5</v>
      </c>
      <c r="G100" s="74" t="s">
        <v>62</v>
      </c>
      <c r="H100" s="119">
        <v>13</v>
      </c>
      <c r="I100" s="73" t="s">
        <v>63</v>
      </c>
      <c r="J100" s="79">
        <f t="shared" ref="J100:J104" si="12">F100*H100</f>
        <v>65</v>
      </c>
      <c r="K100" s="72" t="s">
        <v>14</v>
      </c>
      <c r="L100" s="79"/>
      <c r="M100" s="79"/>
    </row>
    <row r="101" spans="1:15" ht="13.8" thickBot="1" x14ac:dyDescent="0.3">
      <c r="B101" s="72"/>
      <c r="C101" s="72" t="s">
        <v>326</v>
      </c>
      <c r="D101" s="72"/>
      <c r="E101" s="72"/>
      <c r="F101" s="119"/>
      <c r="G101" s="74" t="s">
        <v>20</v>
      </c>
      <c r="H101" s="119"/>
      <c r="I101" s="73" t="s">
        <v>5</v>
      </c>
      <c r="J101" s="79">
        <f t="shared" ref="J101:J103" si="13">F101*H101</f>
        <v>0</v>
      </c>
      <c r="K101" s="72" t="s">
        <v>14</v>
      </c>
      <c r="L101" s="79"/>
      <c r="M101" s="79"/>
    </row>
    <row r="102" spans="1:15" ht="13.8" thickBot="1" x14ac:dyDescent="0.3">
      <c r="B102" s="72"/>
      <c r="C102" s="72" t="s">
        <v>326</v>
      </c>
      <c r="D102" s="72"/>
      <c r="E102" s="72"/>
      <c r="F102" s="119"/>
      <c r="G102" s="74" t="s">
        <v>20</v>
      </c>
      <c r="H102" s="119"/>
      <c r="I102" s="73" t="s">
        <v>5</v>
      </c>
      <c r="J102" s="79">
        <f t="shared" si="13"/>
        <v>0</v>
      </c>
      <c r="K102" s="72" t="s">
        <v>14</v>
      </c>
      <c r="L102" s="79"/>
      <c r="M102" s="79"/>
    </row>
    <row r="103" spans="1:15" ht="13.8" thickBot="1" x14ac:dyDescent="0.3">
      <c r="B103" s="72"/>
      <c r="C103" s="72" t="s">
        <v>326</v>
      </c>
      <c r="D103" s="72"/>
      <c r="E103" s="72"/>
      <c r="F103" s="119"/>
      <c r="G103" s="74" t="s">
        <v>20</v>
      </c>
      <c r="H103" s="119"/>
      <c r="I103" s="73" t="s">
        <v>5</v>
      </c>
      <c r="J103" s="79">
        <f t="shared" si="13"/>
        <v>0</v>
      </c>
      <c r="K103" s="72" t="s">
        <v>14</v>
      </c>
      <c r="L103" s="79"/>
      <c r="M103" s="79"/>
    </row>
    <row r="104" spans="1:15" ht="13.8" thickBot="1" x14ac:dyDescent="0.3">
      <c r="B104" s="72"/>
      <c r="C104" s="72" t="s">
        <v>326</v>
      </c>
      <c r="D104" s="72"/>
      <c r="E104" s="72"/>
      <c r="F104" s="119"/>
      <c r="G104" s="74" t="s">
        <v>20</v>
      </c>
      <c r="H104" s="119"/>
      <c r="I104" s="73" t="s">
        <v>5</v>
      </c>
      <c r="J104" s="79">
        <f t="shared" si="12"/>
        <v>0</v>
      </c>
      <c r="K104" s="72" t="s">
        <v>14</v>
      </c>
      <c r="L104" s="79"/>
      <c r="M104" s="79"/>
    </row>
    <row r="105" spans="1:15" s="8" customFormat="1" x14ac:dyDescent="0.25">
      <c r="A105" s="555"/>
      <c r="B105" s="241"/>
      <c r="C105" s="241" t="s">
        <v>196</v>
      </c>
      <c r="D105" s="241"/>
      <c r="E105" s="241"/>
      <c r="F105" s="273"/>
      <c r="G105" s="242"/>
      <c r="H105" s="273"/>
      <c r="I105" s="243"/>
      <c r="J105" s="243">
        <f>SUM(J91:J104)</f>
        <v>213.64800000000002</v>
      </c>
      <c r="K105" s="241" t="s">
        <v>14</v>
      </c>
      <c r="L105" s="241"/>
      <c r="M105" s="241"/>
    </row>
    <row r="106" spans="1:15" x14ac:dyDescent="0.25">
      <c r="B106" s="72"/>
      <c r="C106" s="72"/>
      <c r="D106" s="72"/>
      <c r="E106" s="72"/>
      <c r="F106" s="74"/>
      <c r="G106" s="74"/>
      <c r="H106" s="73"/>
      <c r="I106" s="73"/>
      <c r="J106" s="79"/>
      <c r="K106" s="72"/>
      <c r="L106" s="79"/>
      <c r="M106" s="79"/>
    </row>
    <row r="107" spans="1:15" x14ac:dyDescent="0.25">
      <c r="A107" s="560"/>
      <c r="N107" s="5"/>
      <c r="O107" s="5"/>
    </row>
    <row r="108" spans="1:15" ht="15.6" x14ac:dyDescent="0.3">
      <c r="A108" s="560"/>
      <c r="B108" s="110" t="s">
        <v>285</v>
      </c>
      <c r="C108" s="82"/>
      <c r="D108" s="82"/>
      <c r="E108" s="82"/>
      <c r="F108" s="965" t="s">
        <v>159</v>
      </c>
      <c r="G108" s="965"/>
      <c r="H108" s="965" t="s">
        <v>158</v>
      </c>
      <c r="I108" s="965"/>
      <c r="J108" s="965" t="s">
        <v>273</v>
      </c>
      <c r="K108" s="965"/>
      <c r="L108" s="84"/>
      <c r="M108" s="84"/>
      <c r="N108" s="5"/>
      <c r="O108" s="5"/>
    </row>
    <row r="109" spans="1:15" ht="13.8" thickBot="1" x14ac:dyDescent="0.3">
      <c r="A109" s="560"/>
      <c r="B109" s="82"/>
      <c r="C109" s="82"/>
      <c r="D109" s="82"/>
      <c r="E109" s="82"/>
      <c r="F109" s="82"/>
      <c r="G109" s="82"/>
      <c r="H109" s="83"/>
      <c r="I109" s="83"/>
      <c r="J109" s="84"/>
      <c r="K109" s="84"/>
      <c r="L109" s="84"/>
      <c r="M109" s="84"/>
      <c r="N109" s="5"/>
      <c r="O109" s="5"/>
    </row>
    <row r="110" spans="1:15" ht="13.8" thickBot="1" x14ac:dyDescent="0.3">
      <c r="A110" s="560"/>
      <c r="B110" s="82"/>
      <c r="C110" s="82" t="s">
        <v>286</v>
      </c>
      <c r="D110" s="84"/>
      <c r="E110" s="82"/>
      <c r="F110" s="463">
        <f>S10*'Gårdens info'!G10/1</f>
        <v>24000</v>
      </c>
      <c r="G110" s="82" t="s">
        <v>153</v>
      </c>
      <c r="H110" s="99">
        <v>0.01</v>
      </c>
      <c r="I110" s="83" t="s">
        <v>152</v>
      </c>
      <c r="J110" s="85">
        <f>F110*H110</f>
        <v>240</v>
      </c>
      <c r="K110" s="82" t="s">
        <v>14</v>
      </c>
      <c r="L110" s="84"/>
      <c r="M110" s="84"/>
      <c r="N110" s="5"/>
      <c r="O110" s="5"/>
    </row>
    <row r="111" spans="1:15" ht="13.8" thickBot="1" x14ac:dyDescent="0.3">
      <c r="A111" s="560"/>
      <c r="B111" s="82"/>
      <c r="C111" s="82" t="s">
        <v>287</v>
      </c>
      <c r="D111" s="84"/>
      <c r="E111" s="82"/>
      <c r="F111" s="463">
        <f>S11*'Gårdens info'!G10/0.25</f>
        <v>0</v>
      </c>
      <c r="G111" s="82" t="s">
        <v>153</v>
      </c>
      <c r="H111" s="99">
        <v>0.01</v>
      </c>
      <c r="I111" s="83" t="s">
        <v>152</v>
      </c>
      <c r="J111" s="85">
        <f t="shared" ref="J111:J117" si="14">F111*H111</f>
        <v>0</v>
      </c>
      <c r="K111" s="82" t="s">
        <v>14</v>
      </c>
      <c r="L111" s="84"/>
      <c r="M111" s="84"/>
      <c r="N111" s="5"/>
      <c r="O111" s="5"/>
    </row>
    <row r="112" spans="1:15" ht="13.8" thickBot="1" x14ac:dyDescent="0.3">
      <c r="A112" s="560"/>
      <c r="B112" s="82"/>
      <c r="C112" s="82" t="s">
        <v>288</v>
      </c>
      <c r="D112" s="84"/>
      <c r="E112" s="82"/>
      <c r="F112" s="463">
        <f>S12*'Gårdens info'!G10/0.5</f>
        <v>48000</v>
      </c>
      <c r="G112" s="82" t="s">
        <v>153</v>
      </c>
      <c r="H112" s="99">
        <v>0.01</v>
      </c>
      <c r="I112" s="83" t="s">
        <v>152</v>
      </c>
      <c r="J112" s="85">
        <f t="shared" si="14"/>
        <v>480</v>
      </c>
      <c r="K112" s="82" t="s">
        <v>14</v>
      </c>
      <c r="L112" s="84"/>
      <c r="M112" s="84"/>
      <c r="N112" s="5"/>
      <c r="O112" s="5"/>
    </row>
    <row r="113" spans="1:21" ht="13.8" thickBot="1" x14ac:dyDescent="0.3">
      <c r="A113" s="560"/>
      <c r="B113" s="82"/>
      <c r="C113" s="82" t="s">
        <v>289</v>
      </c>
      <c r="D113" s="84"/>
      <c r="E113" s="82"/>
      <c r="F113" s="463">
        <f>S13*'Gårdens info'!G10/10</f>
        <v>1200</v>
      </c>
      <c r="G113" s="82" t="s">
        <v>153</v>
      </c>
      <c r="H113" s="99">
        <v>0.05</v>
      </c>
      <c r="I113" s="83" t="s">
        <v>152</v>
      </c>
      <c r="J113" s="85">
        <f t="shared" si="14"/>
        <v>60</v>
      </c>
      <c r="K113" s="82" t="s">
        <v>14</v>
      </c>
      <c r="L113" s="84"/>
      <c r="M113" s="84"/>
      <c r="N113" s="5"/>
      <c r="O113" s="5"/>
    </row>
    <row r="114" spans="1:21" ht="13.8" thickBot="1" x14ac:dyDescent="0.3">
      <c r="A114" s="560"/>
      <c r="B114" s="82"/>
      <c r="C114" s="119" t="s">
        <v>290</v>
      </c>
      <c r="D114" s="119"/>
      <c r="E114" s="82" t="s">
        <v>21</v>
      </c>
      <c r="F114" s="463">
        <f>IF(S14&gt;0,(S14*'Gårdens info'!$G$10/D114),0)</f>
        <v>0</v>
      </c>
      <c r="G114" s="82" t="s">
        <v>153</v>
      </c>
      <c r="H114" s="99"/>
      <c r="I114" s="83" t="s">
        <v>152</v>
      </c>
      <c r="J114" s="85">
        <f t="shared" si="14"/>
        <v>0</v>
      </c>
      <c r="K114" s="82" t="s">
        <v>14</v>
      </c>
      <c r="L114" s="84"/>
      <c r="M114" s="84"/>
      <c r="N114" s="5"/>
      <c r="O114" s="5"/>
    </row>
    <row r="115" spans="1:21" ht="13.8" thickBot="1" x14ac:dyDescent="0.3">
      <c r="A115" s="560"/>
      <c r="B115" s="82"/>
      <c r="C115" s="119" t="s">
        <v>290</v>
      </c>
      <c r="D115" s="119"/>
      <c r="E115" s="82" t="s">
        <v>21</v>
      </c>
      <c r="F115" s="463">
        <f>IF(S15&gt;0,(S15*'Gårdens info'!$G$10/D115),0)</f>
        <v>0</v>
      </c>
      <c r="G115" s="82" t="s">
        <v>153</v>
      </c>
      <c r="H115" s="99"/>
      <c r="I115" s="83" t="s">
        <v>152</v>
      </c>
      <c r="J115" s="85">
        <f t="shared" ref="J115:J116" si="15">F115*H115</f>
        <v>0</v>
      </c>
      <c r="K115" s="82" t="s">
        <v>14</v>
      </c>
      <c r="L115" s="84"/>
      <c r="M115" s="84"/>
      <c r="N115" s="5"/>
      <c r="O115" s="5"/>
    </row>
    <row r="116" spans="1:21" ht="13.8" thickBot="1" x14ac:dyDescent="0.3">
      <c r="A116" s="560"/>
      <c r="B116" s="82"/>
      <c r="C116" s="119" t="s">
        <v>290</v>
      </c>
      <c r="D116" s="119"/>
      <c r="E116" s="82" t="s">
        <v>21</v>
      </c>
      <c r="F116" s="463">
        <f>IF(S16&gt;0,(S16*'Gårdens info'!$G$10/D116),0)</f>
        <v>0</v>
      </c>
      <c r="G116" s="82" t="s">
        <v>153</v>
      </c>
      <c r="H116" s="99"/>
      <c r="I116" s="83" t="s">
        <v>152</v>
      </c>
      <c r="J116" s="85">
        <f t="shared" si="15"/>
        <v>0</v>
      </c>
      <c r="K116" s="82" t="s">
        <v>14</v>
      </c>
      <c r="L116" s="84"/>
      <c r="M116" s="84"/>
      <c r="N116" s="5"/>
      <c r="O116" s="5"/>
    </row>
    <row r="117" spans="1:21" ht="13.8" thickBot="1" x14ac:dyDescent="0.3">
      <c r="A117" s="560"/>
      <c r="B117" s="82"/>
      <c r="C117" s="119" t="s">
        <v>290</v>
      </c>
      <c r="D117" s="119"/>
      <c r="E117" s="82" t="s">
        <v>21</v>
      </c>
      <c r="F117" s="463">
        <f>IF(S17&gt;0,(S17*'Gårdens info'!$G$10/D117),0)</f>
        <v>0</v>
      </c>
      <c r="G117" s="82" t="s">
        <v>153</v>
      </c>
      <c r="H117" s="99"/>
      <c r="I117" s="83" t="s">
        <v>152</v>
      </c>
      <c r="J117" s="85">
        <f t="shared" si="14"/>
        <v>0</v>
      </c>
      <c r="K117" s="82" t="s">
        <v>14</v>
      </c>
      <c r="L117" s="84"/>
      <c r="M117" s="84"/>
      <c r="N117" s="5"/>
      <c r="O117" s="5"/>
    </row>
    <row r="118" spans="1:21" x14ac:dyDescent="0.25">
      <c r="A118" s="560"/>
      <c r="B118" s="245"/>
      <c r="C118" s="245" t="s">
        <v>196</v>
      </c>
      <c r="D118" s="245"/>
      <c r="E118" s="245"/>
      <c r="F118" s="246"/>
      <c r="G118" s="245"/>
      <c r="H118" s="247"/>
      <c r="I118" s="248"/>
      <c r="J118" s="249">
        <f>SUM(J110:J117)</f>
        <v>780</v>
      </c>
      <c r="K118" s="245" t="s">
        <v>14</v>
      </c>
      <c r="L118" s="245"/>
      <c r="M118" s="245"/>
      <c r="N118" s="5"/>
      <c r="O118" s="5"/>
    </row>
    <row r="119" spans="1:21" x14ac:dyDescent="0.25">
      <c r="A119" s="560"/>
      <c r="B119" s="82"/>
      <c r="C119" s="82"/>
      <c r="D119" s="82"/>
      <c r="E119" s="82"/>
      <c r="F119" s="82"/>
      <c r="G119" s="82"/>
      <c r="H119" s="83"/>
      <c r="I119" s="83"/>
      <c r="J119" s="85"/>
      <c r="K119" s="82"/>
      <c r="L119" s="84"/>
      <c r="M119" s="84"/>
      <c r="N119" s="5"/>
      <c r="O119" s="5"/>
    </row>
    <row r="120" spans="1:21" x14ac:dyDescent="0.25">
      <c r="A120" s="560"/>
      <c r="N120" s="5"/>
      <c r="O120" s="5"/>
    </row>
    <row r="121" spans="1:21" s="8" customFormat="1" ht="15.6" x14ac:dyDescent="0.3">
      <c r="A121" s="561"/>
      <c r="B121" s="111" t="s">
        <v>291</v>
      </c>
      <c r="C121" s="87"/>
      <c r="D121" s="87"/>
      <c r="E121" s="87"/>
      <c r="F121" s="966" t="s">
        <v>159</v>
      </c>
      <c r="G121" s="966"/>
      <c r="H121" s="966" t="s">
        <v>158</v>
      </c>
      <c r="I121" s="966"/>
      <c r="J121" s="966" t="s">
        <v>273</v>
      </c>
      <c r="K121" s="966"/>
      <c r="L121" s="89"/>
      <c r="M121" s="89"/>
      <c r="N121" s="5"/>
      <c r="O121" s="5"/>
      <c r="P121"/>
      <c r="Q121"/>
      <c r="R121"/>
      <c r="S121"/>
      <c r="T121"/>
      <c r="U121"/>
    </row>
    <row r="122" spans="1:21" ht="13.8" thickBot="1" x14ac:dyDescent="0.3">
      <c r="A122" s="560"/>
      <c r="B122" s="87"/>
      <c r="C122" s="87"/>
      <c r="D122" s="87"/>
      <c r="E122" s="87"/>
      <c r="F122" s="87"/>
      <c r="G122" s="87"/>
      <c r="H122" s="88"/>
      <c r="I122" s="88"/>
      <c r="J122" s="89"/>
      <c r="K122" s="89"/>
      <c r="L122" s="89"/>
      <c r="M122" s="89"/>
      <c r="N122" s="5"/>
      <c r="O122" s="5"/>
    </row>
    <row r="123" spans="1:21" ht="13.8" thickBot="1" x14ac:dyDescent="0.3">
      <c r="A123" s="560"/>
      <c r="B123" s="87"/>
      <c r="C123" s="87" t="s">
        <v>247</v>
      </c>
      <c r="D123" s="89"/>
      <c r="E123" s="87"/>
      <c r="F123" s="96">
        <f>'Gårdens info'!G10*'Gårdens info'!D10*0.9</f>
        <v>54000</v>
      </c>
      <c r="G123" s="87" t="s">
        <v>21</v>
      </c>
      <c r="H123" s="99">
        <v>0.02</v>
      </c>
      <c r="I123" s="88" t="s">
        <v>6</v>
      </c>
      <c r="J123" s="90">
        <f t="shared" ref="J123:J125" si="16">F123*H123</f>
        <v>1080</v>
      </c>
      <c r="K123" s="87" t="s">
        <v>14</v>
      </c>
      <c r="L123" s="89"/>
      <c r="M123" s="89"/>
      <c r="N123" s="9"/>
      <c r="O123" s="9"/>
      <c r="P123" s="8"/>
      <c r="Q123" s="8"/>
      <c r="R123" s="8"/>
      <c r="S123" s="8"/>
      <c r="T123" s="8"/>
      <c r="U123" s="8"/>
    </row>
    <row r="124" spans="1:21" ht="13.8" thickBot="1" x14ac:dyDescent="0.3">
      <c r="A124" s="560"/>
      <c r="B124" s="87"/>
      <c r="C124" s="87" t="s">
        <v>292</v>
      </c>
      <c r="D124" s="87"/>
      <c r="E124" s="87"/>
      <c r="F124" s="96"/>
      <c r="G124" s="87" t="s">
        <v>21</v>
      </c>
      <c r="H124" s="99"/>
      <c r="I124" s="88" t="s">
        <v>6</v>
      </c>
      <c r="J124" s="90">
        <f t="shared" si="16"/>
        <v>0</v>
      </c>
      <c r="K124" s="87" t="s">
        <v>14</v>
      </c>
      <c r="L124" s="89"/>
      <c r="M124" s="89"/>
      <c r="N124" s="5"/>
      <c r="O124" s="5"/>
    </row>
    <row r="125" spans="1:21" ht="13.8" thickBot="1" x14ac:dyDescent="0.3">
      <c r="A125" s="560"/>
      <c r="B125" s="87"/>
      <c r="C125" s="87" t="s">
        <v>292</v>
      </c>
      <c r="D125" s="87"/>
      <c r="E125" s="87"/>
      <c r="F125" s="96"/>
      <c r="G125" s="87" t="s">
        <v>21</v>
      </c>
      <c r="H125" s="99"/>
      <c r="I125" s="88" t="s">
        <v>6</v>
      </c>
      <c r="J125" s="90">
        <f t="shared" si="16"/>
        <v>0</v>
      </c>
      <c r="K125" s="87" t="s">
        <v>14</v>
      </c>
      <c r="L125" s="89"/>
      <c r="M125" s="89"/>
      <c r="N125" s="5"/>
      <c r="O125" s="5"/>
    </row>
    <row r="126" spans="1:21" x14ac:dyDescent="0.25">
      <c r="A126" s="560"/>
      <c r="B126" s="250"/>
      <c r="C126" s="250" t="s">
        <v>196</v>
      </c>
      <c r="D126" s="250"/>
      <c r="E126" s="250"/>
      <c r="F126" s="251"/>
      <c r="G126" s="250"/>
      <c r="H126" s="252"/>
      <c r="I126" s="253"/>
      <c r="J126" s="254">
        <f>SUM(J123:J125)</f>
        <v>1080</v>
      </c>
      <c r="K126" s="250" t="s">
        <v>14</v>
      </c>
      <c r="L126" s="250"/>
      <c r="M126" s="250"/>
      <c r="N126" s="5"/>
      <c r="O126" s="5"/>
    </row>
    <row r="127" spans="1:21" x14ac:dyDescent="0.25">
      <c r="A127" s="560"/>
      <c r="B127" s="87"/>
      <c r="C127" s="87"/>
      <c r="D127" s="87"/>
      <c r="E127" s="87"/>
      <c r="F127" s="87"/>
      <c r="G127" s="87"/>
      <c r="H127" s="88"/>
      <c r="I127" s="88"/>
      <c r="J127" s="90"/>
      <c r="K127" s="87"/>
      <c r="L127" s="89"/>
      <c r="M127" s="89"/>
      <c r="N127" s="5"/>
    </row>
    <row r="128" spans="1:21" x14ac:dyDescent="0.25">
      <c r="A128" s="560"/>
      <c r="N128" s="5"/>
    </row>
    <row r="129" spans="1:21" ht="15.6" x14ac:dyDescent="0.3">
      <c r="A129" s="560"/>
      <c r="B129" s="219" t="s">
        <v>293</v>
      </c>
      <c r="C129" s="220"/>
      <c r="D129" s="220"/>
      <c r="E129" s="220"/>
      <c r="F129" s="964" t="s">
        <v>159</v>
      </c>
      <c r="G129" s="964"/>
      <c r="H129" s="964" t="s">
        <v>158</v>
      </c>
      <c r="I129" s="964"/>
      <c r="J129" s="964" t="s">
        <v>273</v>
      </c>
      <c r="K129" s="964"/>
      <c r="L129" s="222"/>
      <c r="M129" s="222"/>
      <c r="N129" s="5"/>
    </row>
    <row r="130" spans="1:21" ht="13.8" thickBot="1" x14ac:dyDescent="0.3">
      <c r="A130" s="560"/>
      <c r="B130" s="220"/>
      <c r="C130" s="220"/>
      <c r="D130" s="220"/>
      <c r="E130" s="220"/>
      <c r="F130" s="220"/>
      <c r="G130" s="220"/>
      <c r="H130" s="221"/>
      <c r="I130" s="221"/>
      <c r="J130" s="222"/>
      <c r="K130" s="222"/>
      <c r="L130" s="222"/>
      <c r="M130" s="222"/>
      <c r="N130" s="5"/>
    </row>
    <row r="131" spans="1:21" ht="13.8" thickBot="1" x14ac:dyDescent="0.3">
      <c r="A131" s="560"/>
      <c r="B131" s="220"/>
      <c r="C131" s="220" t="s">
        <v>294</v>
      </c>
      <c r="D131" s="222"/>
      <c r="E131" s="220"/>
      <c r="F131" s="96"/>
      <c r="G131" s="220" t="s">
        <v>0</v>
      </c>
      <c r="H131" s="99"/>
      <c r="I131" s="221" t="s">
        <v>14</v>
      </c>
      <c r="J131" s="223">
        <f t="shared" ref="J131:J133" si="17">F131*H131</f>
        <v>0</v>
      </c>
      <c r="K131" s="220" t="s">
        <v>14</v>
      </c>
      <c r="L131" s="222"/>
      <c r="M131" s="222"/>
      <c r="N131" s="5"/>
    </row>
    <row r="132" spans="1:21" ht="13.8" thickBot="1" x14ac:dyDescent="0.3">
      <c r="B132" s="220"/>
      <c r="C132" s="220" t="s">
        <v>294</v>
      </c>
      <c r="D132" s="220"/>
      <c r="E132" s="220"/>
      <c r="F132" s="96"/>
      <c r="G132" s="220" t="s">
        <v>0</v>
      </c>
      <c r="H132" s="99"/>
      <c r="I132" s="221" t="s">
        <v>14</v>
      </c>
      <c r="J132" s="223">
        <f t="shared" si="17"/>
        <v>0</v>
      </c>
      <c r="K132" s="220" t="s">
        <v>14</v>
      </c>
      <c r="L132" s="222"/>
      <c r="M132" s="222"/>
    </row>
    <row r="133" spans="1:21" ht="13.8" thickBot="1" x14ac:dyDescent="0.3">
      <c r="B133" s="220"/>
      <c r="C133" s="220" t="s">
        <v>294</v>
      </c>
      <c r="D133" s="220"/>
      <c r="E133" s="220"/>
      <c r="F133" s="96"/>
      <c r="G133" s="220" t="s">
        <v>0</v>
      </c>
      <c r="H133" s="99"/>
      <c r="I133" s="221" t="s">
        <v>14</v>
      </c>
      <c r="J133" s="223">
        <f t="shared" si="17"/>
        <v>0</v>
      </c>
      <c r="K133" s="220" t="s">
        <v>14</v>
      </c>
      <c r="L133" s="222"/>
      <c r="M133" s="222"/>
    </row>
    <row r="134" spans="1:21" s="8" customFormat="1" x14ac:dyDescent="0.25">
      <c r="A134" s="555"/>
      <c r="B134" s="255"/>
      <c r="C134" s="255" t="s">
        <v>196</v>
      </c>
      <c r="D134" s="255"/>
      <c r="E134" s="255"/>
      <c r="F134" s="256"/>
      <c r="G134" s="255"/>
      <c r="H134" s="257"/>
      <c r="I134" s="258"/>
      <c r="J134" s="259">
        <f>SUM(J131:J133)</f>
        <v>0</v>
      </c>
      <c r="K134" s="255" t="s">
        <v>14</v>
      </c>
      <c r="L134" s="255"/>
      <c r="M134" s="255"/>
      <c r="N134"/>
      <c r="O134"/>
      <c r="P134"/>
      <c r="Q134"/>
      <c r="R134"/>
      <c r="S134"/>
      <c r="T134"/>
      <c r="U134"/>
    </row>
    <row r="135" spans="1:21" x14ac:dyDescent="0.25">
      <c r="B135" s="220"/>
      <c r="C135" s="220"/>
      <c r="D135" s="220"/>
      <c r="E135" s="220"/>
      <c r="F135" s="220"/>
      <c r="G135" s="220"/>
      <c r="H135" s="221"/>
      <c r="I135" s="221"/>
      <c r="J135" s="223"/>
      <c r="K135" s="220"/>
      <c r="L135" s="222"/>
      <c r="M135" s="222"/>
    </row>
    <row r="136" spans="1:21" ht="30" customHeight="1" x14ac:dyDescent="0.25">
      <c r="N136" s="8"/>
      <c r="O136" s="8"/>
      <c r="P136" s="8"/>
      <c r="Q136" s="8"/>
      <c r="R136" s="8"/>
      <c r="S136" s="8"/>
      <c r="T136" s="8"/>
      <c r="U136" s="8"/>
    </row>
    <row r="137" spans="1:21" ht="15.6" x14ac:dyDescent="0.3">
      <c r="B137" s="225" t="s">
        <v>295</v>
      </c>
      <c r="C137" s="226"/>
      <c r="D137" s="226"/>
      <c r="E137" s="227"/>
      <c r="F137" s="226" t="s">
        <v>159</v>
      </c>
      <c r="G137" s="228"/>
      <c r="H137" s="228" t="s">
        <v>158</v>
      </c>
      <c r="I137" s="226"/>
      <c r="J137" s="226"/>
      <c r="K137" s="229"/>
      <c r="L137" s="229"/>
      <c r="M137" s="229"/>
    </row>
    <row r="138" spans="1:21" ht="16.2" thickBot="1" x14ac:dyDescent="0.35">
      <c r="B138" s="225"/>
      <c r="C138" s="226"/>
      <c r="D138" s="226"/>
      <c r="E138" s="227"/>
      <c r="F138" s="226"/>
      <c r="G138" s="228"/>
      <c r="H138" s="228"/>
      <c r="I138" s="226"/>
      <c r="J138" s="226"/>
      <c r="K138" s="229"/>
      <c r="L138" s="229"/>
      <c r="M138" s="229"/>
    </row>
    <row r="139" spans="1:21" ht="13.8" thickBot="1" x14ac:dyDescent="0.3">
      <c r="B139" s="226"/>
      <c r="C139" s="226" t="s">
        <v>296</v>
      </c>
      <c r="D139" s="229"/>
      <c r="E139" s="230"/>
      <c r="F139" s="96">
        <v>10500</v>
      </c>
      <c r="G139" s="231" t="s">
        <v>18</v>
      </c>
      <c r="H139" s="96">
        <v>0.15</v>
      </c>
      <c r="I139" s="232" t="s">
        <v>10</v>
      </c>
      <c r="J139" s="229">
        <f>H139*F139</f>
        <v>1575</v>
      </c>
      <c r="K139" s="232" t="s">
        <v>14</v>
      </c>
      <c r="L139" s="229"/>
      <c r="M139" s="229"/>
    </row>
    <row r="140" spans="1:21" ht="13.8" thickBot="1" x14ac:dyDescent="0.3">
      <c r="B140" s="226"/>
      <c r="C140" s="226" t="s">
        <v>297</v>
      </c>
      <c r="D140" s="232">
        <f>F173/2</f>
        <v>74.5</v>
      </c>
      <c r="E140" s="226" t="s">
        <v>9</v>
      </c>
      <c r="F140" s="96">
        <f>+D140*8</f>
        <v>596</v>
      </c>
      <c r="G140" s="228" t="s">
        <v>20</v>
      </c>
      <c r="H140" s="96">
        <v>0.83</v>
      </c>
      <c r="I140" s="232" t="s">
        <v>5</v>
      </c>
      <c r="J140" s="229">
        <f>H140*F140</f>
        <v>494.67999999999995</v>
      </c>
      <c r="K140" s="232" t="s">
        <v>14</v>
      </c>
      <c r="L140" s="229"/>
      <c r="M140" s="229"/>
    </row>
    <row r="141" spans="1:21" ht="13.8" thickBot="1" x14ac:dyDescent="0.3">
      <c r="B141" s="226"/>
      <c r="C141" s="226" t="s">
        <v>298</v>
      </c>
      <c r="D141" s="232">
        <f>D140</f>
        <v>74.5</v>
      </c>
      <c r="E141" s="226" t="s">
        <v>9</v>
      </c>
      <c r="F141" s="96">
        <v>11.88</v>
      </c>
      <c r="G141" s="228" t="s">
        <v>21</v>
      </c>
      <c r="H141" s="96">
        <v>4</v>
      </c>
      <c r="I141" s="232" t="s">
        <v>6</v>
      </c>
      <c r="J141" s="229">
        <f t="shared" ref="J141:J145" si="18">H141*F141</f>
        <v>47.52</v>
      </c>
      <c r="K141" s="232" t="s">
        <v>14</v>
      </c>
      <c r="L141" s="229"/>
      <c r="M141" s="229"/>
    </row>
    <row r="142" spans="1:21" ht="13.8" thickBot="1" x14ac:dyDescent="0.3">
      <c r="B142" s="226"/>
      <c r="C142" s="226" t="s">
        <v>19</v>
      </c>
      <c r="D142" s="229"/>
      <c r="E142" s="232"/>
      <c r="F142" s="96">
        <v>200</v>
      </c>
      <c r="G142" s="228" t="s">
        <v>20</v>
      </c>
      <c r="H142" s="96">
        <v>1.53</v>
      </c>
      <c r="I142" s="232" t="s">
        <v>5</v>
      </c>
      <c r="J142" s="229">
        <f t="shared" si="18"/>
        <v>306</v>
      </c>
      <c r="K142" s="232" t="s">
        <v>14</v>
      </c>
      <c r="L142" s="229"/>
      <c r="M142" s="229"/>
    </row>
    <row r="143" spans="1:21" ht="13.8" thickBot="1" x14ac:dyDescent="0.3">
      <c r="B143" s="226"/>
      <c r="C143" s="226" t="s">
        <v>299</v>
      </c>
      <c r="D143" s="229"/>
      <c r="E143" s="232"/>
      <c r="F143" s="96"/>
      <c r="G143" s="228" t="s">
        <v>20</v>
      </c>
      <c r="H143" s="96"/>
      <c r="I143" s="232" t="s">
        <v>5</v>
      </c>
      <c r="J143" s="229">
        <f t="shared" si="18"/>
        <v>0</v>
      </c>
      <c r="K143" s="232" t="s">
        <v>14</v>
      </c>
      <c r="L143" s="229"/>
      <c r="M143" s="229"/>
    </row>
    <row r="144" spans="1:21" ht="13.8" thickBot="1" x14ac:dyDescent="0.3">
      <c r="B144" s="226"/>
      <c r="C144" s="226" t="s">
        <v>300</v>
      </c>
      <c r="D144" s="229"/>
      <c r="E144" s="232"/>
      <c r="F144" s="96"/>
      <c r="G144" s="228"/>
      <c r="H144" s="96"/>
      <c r="I144" s="232"/>
      <c r="J144" s="229">
        <f t="shared" si="18"/>
        <v>0</v>
      </c>
      <c r="K144" s="232" t="s">
        <v>14</v>
      </c>
      <c r="L144" s="229"/>
      <c r="M144" s="229"/>
    </row>
    <row r="145" spans="1:21" ht="13.8" thickBot="1" x14ac:dyDescent="0.3">
      <c r="B145" s="229"/>
      <c r="C145" s="226" t="s">
        <v>300</v>
      </c>
      <c r="D145" s="229"/>
      <c r="E145" s="229"/>
      <c r="F145" s="96"/>
      <c r="G145" s="229"/>
      <c r="H145" s="96"/>
      <c r="I145" s="229"/>
      <c r="J145" s="229">
        <f t="shared" si="18"/>
        <v>0</v>
      </c>
      <c r="K145" s="232" t="s">
        <v>14</v>
      </c>
      <c r="L145" s="229"/>
      <c r="M145" s="229"/>
    </row>
    <row r="146" spans="1:21" s="8" customFormat="1" x14ac:dyDescent="0.25">
      <c r="A146" s="555"/>
      <c r="B146" s="260"/>
      <c r="C146" s="260" t="s">
        <v>196</v>
      </c>
      <c r="D146" s="260"/>
      <c r="E146" s="260"/>
      <c r="F146" s="261"/>
      <c r="G146" s="260"/>
      <c r="H146" s="261"/>
      <c r="I146" s="260"/>
      <c r="J146" s="260">
        <f>SUM(J139:J145)</f>
        <v>2423.1999999999998</v>
      </c>
      <c r="K146" s="262" t="s">
        <v>14</v>
      </c>
      <c r="L146" s="260"/>
      <c r="M146" s="260"/>
    </row>
    <row r="147" spans="1:21" x14ac:dyDescent="0.25">
      <c r="B147" s="229"/>
      <c r="C147" s="229"/>
      <c r="D147" s="229"/>
      <c r="E147" s="229"/>
      <c r="F147" s="229"/>
      <c r="G147" s="229"/>
      <c r="H147" s="229"/>
      <c r="I147" s="229"/>
      <c r="J147" s="229"/>
      <c r="K147" s="229"/>
      <c r="L147" s="229"/>
      <c r="M147" s="229"/>
    </row>
    <row r="149" spans="1:21" ht="15.6" x14ac:dyDescent="0.3">
      <c r="B149" s="112" t="s">
        <v>301</v>
      </c>
      <c r="C149" s="101"/>
      <c r="D149" s="101"/>
      <c r="E149" s="101"/>
      <c r="F149" s="101"/>
      <c r="G149" s="101"/>
      <c r="H149" s="101"/>
      <c r="I149" s="101"/>
      <c r="J149" s="101"/>
      <c r="K149" s="101"/>
      <c r="L149" s="101"/>
      <c r="M149" s="101"/>
    </row>
    <row r="150" spans="1:21" ht="15.6" x14ac:dyDescent="0.3">
      <c r="B150" s="112"/>
      <c r="C150" s="101"/>
      <c r="D150" s="101"/>
      <c r="E150" s="101"/>
      <c r="F150" s="101"/>
      <c r="G150" s="101"/>
      <c r="H150" s="101"/>
      <c r="I150" s="101"/>
      <c r="J150" s="101"/>
      <c r="K150" s="101"/>
      <c r="L150" s="101"/>
      <c r="M150" s="101"/>
    </row>
    <row r="151" spans="1:21" ht="40.049999999999997" customHeight="1" x14ac:dyDescent="0.25">
      <c r="B151" s="961" t="s">
        <v>302</v>
      </c>
      <c r="C151" s="961"/>
      <c r="D151" s="961"/>
      <c r="E151" s="961"/>
      <c r="F151" s="961"/>
      <c r="G151" s="961"/>
      <c r="H151" s="961"/>
      <c r="I151" s="961"/>
      <c r="J151" s="961"/>
      <c r="K151" s="961"/>
      <c r="L151" s="961"/>
      <c r="M151" s="961"/>
    </row>
    <row r="152" spans="1:21" s="8" customFormat="1" ht="15.6" x14ac:dyDescent="0.3">
      <c r="A152" s="555"/>
      <c r="B152" s="112"/>
      <c r="C152" s="101"/>
      <c r="D152" s="101"/>
      <c r="E152" s="126"/>
      <c r="F152" s="126"/>
      <c r="G152" s="126"/>
      <c r="H152" s="125"/>
      <c r="I152" s="125"/>
      <c r="J152" s="126"/>
      <c r="K152" s="126"/>
      <c r="L152" s="125"/>
      <c r="M152" s="125"/>
      <c r="N152"/>
      <c r="O152"/>
      <c r="P152"/>
      <c r="Q152"/>
      <c r="R152"/>
      <c r="S152"/>
      <c r="T152"/>
      <c r="U152"/>
    </row>
    <row r="153" spans="1:21" ht="15.6" x14ac:dyDescent="0.3">
      <c r="B153" s="112"/>
      <c r="C153" s="101"/>
      <c r="D153" s="101"/>
      <c r="E153" s="962" t="s">
        <v>303</v>
      </c>
      <c r="F153" s="962"/>
      <c r="G153" s="962"/>
      <c r="H153" s="963" t="s">
        <v>158</v>
      </c>
      <c r="I153" s="963"/>
      <c r="J153" s="963" t="s">
        <v>304</v>
      </c>
      <c r="K153" s="963"/>
      <c r="L153" s="963" t="s">
        <v>158</v>
      </c>
      <c r="M153" s="963"/>
    </row>
    <row r="154" spans="1:21" ht="33" customHeight="1" thickBot="1" x14ac:dyDescent="0.3">
      <c r="B154" s="100"/>
      <c r="C154" s="101"/>
      <c r="D154" s="101"/>
      <c r="E154" s="101"/>
      <c r="F154" s="101"/>
      <c r="G154" s="101"/>
      <c r="H154" s="101"/>
      <c r="I154" s="101"/>
      <c r="J154" s="101"/>
      <c r="K154" s="101"/>
      <c r="L154" s="101"/>
      <c r="M154" s="101"/>
      <c r="N154" s="8"/>
      <c r="O154" s="8"/>
      <c r="P154" s="8"/>
      <c r="Q154" s="8"/>
      <c r="R154" s="8"/>
      <c r="S154" s="8"/>
      <c r="T154" s="8"/>
      <c r="U154" s="8"/>
    </row>
    <row r="155" spans="1:21" ht="13.8" thickBot="1" x14ac:dyDescent="0.3">
      <c r="B155" s="101"/>
      <c r="C155" s="102" t="s">
        <v>307</v>
      </c>
      <c r="D155" s="101"/>
      <c r="E155" s="101"/>
      <c r="F155" s="115">
        <v>2</v>
      </c>
      <c r="G155" s="104" t="s">
        <v>22</v>
      </c>
      <c r="H155" s="117">
        <v>14.5</v>
      </c>
      <c r="I155" s="104" t="s">
        <v>11</v>
      </c>
      <c r="J155" s="116"/>
      <c r="K155" s="104" t="s">
        <v>22</v>
      </c>
      <c r="L155" s="117">
        <v>14.5</v>
      </c>
      <c r="M155" s="104" t="s">
        <v>11</v>
      </c>
    </row>
    <row r="156" spans="1:21" ht="13.8" thickBot="1" x14ac:dyDescent="0.3">
      <c r="B156" s="101"/>
      <c r="C156" s="102" t="s">
        <v>309</v>
      </c>
      <c r="D156" s="101"/>
      <c r="E156" s="101"/>
      <c r="F156" s="115">
        <v>4</v>
      </c>
      <c r="G156" s="104" t="s">
        <v>22</v>
      </c>
      <c r="H156" s="114">
        <f>H155</f>
        <v>14.5</v>
      </c>
      <c r="I156" s="104" t="s">
        <v>11</v>
      </c>
      <c r="J156" s="116"/>
      <c r="K156" s="104" t="s">
        <v>22</v>
      </c>
      <c r="L156" s="114">
        <f>L155</f>
        <v>14.5</v>
      </c>
      <c r="M156" s="104" t="s">
        <v>11</v>
      </c>
    </row>
    <row r="157" spans="1:21" ht="13.8" thickBot="1" x14ac:dyDescent="0.3">
      <c r="B157" s="101"/>
      <c r="C157" s="102" t="s">
        <v>308</v>
      </c>
      <c r="D157" s="101"/>
      <c r="E157" s="101"/>
      <c r="F157" s="115">
        <v>6</v>
      </c>
      <c r="G157" s="104" t="s">
        <v>22</v>
      </c>
      <c r="H157" s="114">
        <f t="shared" ref="H157:H172" si="19">H156</f>
        <v>14.5</v>
      </c>
      <c r="I157" s="104" t="s">
        <v>11</v>
      </c>
      <c r="J157" s="116"/>
      <c r="K157" s="104" t="s">
        <v>22</v>
      </c>
      <c r="L157" s="114">
        <f t="shared" ref="L157:L172" si="20">L156</f>
        <v>14.5</v>
      </c>
      <c r="M157" s="104" t="s">
        <v>11</v>
      </c>
    </row>
    <row r="158" spans="1:21" ht="13.8" thickBot="1" x14ac:dyDescent="0.3">
      <c r="B158" s="101"/>
      <c r="C158" s="102" t="s">
        <v>310</v>
      </c>
      <c r="D158" s="101"/>
      <c r="E158" s="101"/>
      <c r="F158" s="115">
        <v>4</v>
      </c>
      <c r="G158" s="104" t="s">
        <v>22</v>
      </c>
      <c r="H158" s="114">
        <f t="shared" si="19"/>
        <v>14.5</v>
      </c>
      <c r="I158" s="104" t="s">
        <v>11</v>
      </c>
      <c r="J158" s="116"/>
      <c r="K158" s="104" t="s">
        <v>22</v>
      </c>
      <c r="L158" s="114">
        <f t="shared" si="20"/>
        <v>14.5</v>
      </c>
      <c r="M158" s="104" t="s">
        <v>11</v>
      </c>
    </row>
    <row r="159" spans="1:21" ht="13.8" thickBot="1" x14ac:dyDescent="0.3">
      <c r="B159" s="101"/>
      <c r="C159" s="102" t="s">
        <v>311</v>
      </c>
      <c r="D159" s="101"/>
      <c r="E159" s="101"/>
      <c r="F159" s="115">
        <v>5</v>
      </c>
      <c r="G159" s="104" t="s">
        <v>22</v>
      </c>
      <c r="H159" s="114">
        <f t="shared" si="19"/>
        <v>14.5</v>
      </c>
      <c r="I159" s="104" t="s">
        <v>11</v>
      </c>
      <c r="J159" s="116"/>
      <c r="K159" s="104" t="s">
        <v>22</v>
      </c>
      <c r="L159" s="114">
        <f t="shared" si="20"/>
        <v>14.5</v>
      </c>
      <c r="M159" s="104" t="s">
        <v>11</v>
      </c>
    </row>
    <row r="160" spans="1:21" ht="13.8" thickBot="1" x14ac:dyDescent="0.3">
      <c r="B160" s="101"/>
      <c r="C160" s="102" t="s">
        <v>312</v>
      </c>
      <c r="D160" s="101"/>
      <c r="E160" s="101"/>
      <c r="F160" s="115">
        <v>8</v>
      </c>
      <c r="G160" s="104" t="s">
        <v>22</v>
      </c>
      <c r="H160" s="114">
        <f t="shared" si="19"/>
        <v>14.5</v>
      </c>
      <c r="I160" s="104" t="s">
        <v>11</v>
      </c>
      <c r="J160" s="116"/>
      <c r="K160" s="104" t="s">
        <v>22</v>
      </c>
      <c r="L160" s="114">
        <f t="shared" si="20"/>
        <v>14.5</v>
      </c>
      <c r="M160" s="104" t="s">
        <v>11</v>
      </c>
    </row>
    <row r="161" spans="1:21" ht="13.8" thickBot="1" x14ac:dyDescent="0.3">
      <c r="B161" s="101"/>
      <c r="C161" s="102" t="s">
        <v>315</v>
      </c>
      <c r="D161" s="101"/>
      <c r="E161" s="101"/>
      <c r="F161" s="115">
        <v>4</v>
      </c>
      <c r="G161" s="104" t="s">
        <v>22</v>
      </c>
      <c r="H161" s="114">
        <f t="shared" si="19"/>
        <v>14.5</v>
      </c>
      <c r="I161" s="104" t="s">
        <v>11</v>
      </c>
      <c r="J161" s="116"/>
      <c r="K161" s="104" t="s">
        <v>22</v>
      </c>
      <c r="L161" s="114">
        <f t="shared" si="20"/>
        <v>14.5</v>
      </c>
      <c r="M161" s="104" t="s">
        <v>11</v>
      </c>
    </row>
    <row r="162" spans="1:21" s="8" customFormat="1" ht="13.8" thickBot="1" x14ac:dyDescent="0.3">
      <c r="A162" s="555"/>
      <c r="B162" s="101"/>
      <c r="C162" s="102" t="s">
        <v>313</v>
      </c>
      <c r="D162" s="101"/>
      <c r="E162" s="101"/>
      <c r="F162" s="115">
        <v>20</v>
      </c>
      <c r="G162" s="104" t="s">
        <v>22</v>
      </c>
      <c r="H162" s="114">
        <f t="shared" si="19"/>
        <v>14.5</v>
      </c>
      <c r="I162" s="104" t="s">
        <v>11</v>
      </c>
      <c r="J162" s="116"/>
      <c r="K162" s="104" t="s">
        <v>22</v>
      </c>
      <c r="L162" s="114">
        <f t="shared" si="20"/>
        <v>14.5</v>
      </c>
      <c r="M162" s="104" t="s">
        <v>11</v>
      </c>
      <c r="N162"/>
      <c r="O162"/>
      <c r="P162"/>
      <c r="Q162"/>
      <c r="R162"/>
      <c r="S162"/>
      <c r="T162"/>
      <c r="U162"/>
    </row>
    <row r="163" spans="1:21" ht="13.8" thickBot="1" x14ac:dyDescent="0.3">
      <c r="B163" s="101"/>
      <c r="C163" s="102" t="s">
        <v>314</v>
      </c>
      <c r="D163" s="101"/>
      <c r="E163" s="101"/>
      <c r="F163" s="115">
        <v>4</v>
      </c>
      <c r="G163" s="104" t="s">
        <v>22</v>
      </c>
      <c r="H163" s="114">
        <f t="shared" si="19"/>
        <v>14.5</v>
      </c>
      <c r="I163" s="104" t="s">
        <v>11</v>
      </c>
      <c r="J163" s="116"/>
      <c r="K163" s="104" t="s">
        <v>22</v>
      </c>
      <c r="L163" s="114">
        <f t="shared" si="20"/>
        <v>14.5</v>
      </c>
      <c r="M163" s="104" t="s">
        <v>11</v>
      </c>
    </row>
    <row r="164" spans="1:21" ht="13.8" thickBot="1" x14ac:dyDescent="0.3">
      <c r="B164" s="101"/>
      <c r="C164" s="102" t="s">
        <v>316</v>
      </c>
      <c r="D164" s="101"/>
      <c r="E164" s="101"/>
      <c r="F164" s="115">
        <v>4</v>
      </c>
      <c r="G164" s="104" t="s">
        <v>22</v>
      </c>
      <c r="H164" s="114">
        <f t="shared" si="19"/>
        <v>14.5</v>
      </c>
      <c r="I164" s="104" t="s">
        <v>11</v>
      </c>
      <c r="J164" s="116"/>
      <c r="K164" s="104" t="s">
        <v>22</v>
      </c>
      <c r="L164" s="114">
        <f t="shared" si="20"/>
        <v>14.5</v>
      </c>
      <c r="M164" s="104" t="s">
        <v>11</v>
      </c>
      <c r="N164" s="8"/>
      <c r="O164" s="8"/>
      <c r="P164" s="8"/>
      <c r="Q164" s="8"/>
      <c r="R164" s="8"/>
      <c r="S164" s="8"/>
      <c r="T164" s="8"/>
      <c r="U164" s="8"/>
    </row>
    <row r="165" spans="1:21" ht="13.8" thickBot="1" x14ac:dyDescent="0.3">
      <c r="B165" s="101"/>
      <c r="C165" s="102" t="s">
        <v>317</v>
      </c>
      <c r="D165" s="101"/>
      <c r="E165" s="101"/>
      <c r="F165" s="115">
        <v>8</v>
      </c>
      <c r="G165" s="104" t="s">
        <v>22</v>
      </c>
      <c r="H165" s="114">
        <f t="shared" si="19"/>
        <v>14.5</v>
      </c>
      <c r="I165" s="104" t="s">
        <v>11</v>
      </c>
      <c r="J165" s="116"/>
      <c r="K165" s="104" t="s">
        <v>22</v>
      </c>
      <c r="L165" s="114">
        <f t="shared" si="20"/>
        <v>14.5</v>
      </c>
      <c r="M165" s="104" t="s">
        <v>11</v>
      </c>
    </row>
    <row r="166" spans="1:21" ht="13.8" thickBot="1" x14ac:dyDescent="0.3">
      <c r="B166" s="101"/>
      <c r="C166" s="102" t="s">
        <v>132</v>
      </c>
      <c r="D166" s="101"/>
      <c r="E166" s="101"/>
      <c r="F166" s="115">
        <v>20</v>
      </c>
      <c r="G166" s="104" t="s">
        <v>22</v>
      </c>
      <c r="H166" s="114">
        <f t="shared" si="19"/>
        <v>14.5</v>
      </c>
      <c r="I166" s="104" t="s">
        <v>11</v>
      </c>
      <c r="J166" s="116">
        <v>20</v>
      </c>
      <c r="K166" s="104" t="s">
        <v>22</v>
      </c>
      <c r="L166" s="114">
        <f t="shared" si="20"/>
        <v>14.5</v>
      </c>
      <c r="M166" s="104" t="s">
        <v>11</v>
      </c>
    </row>
    <row r="167" spans="1:21" ht="13.8" thickBot="1" x14ac:dyDescent="0.3">
      <c r="B167" s="101"/>
      <c r="C167" s="102" t="s">
        <v>318</v>
      </c>
      <c r="D167" s="101"/>
      <c r="E167" s="101"/>
      <c r="F167" s="115">
        <v>10</v>
      </c>
      <c r="G167" s="104" t="s">
        <v>22</v>
      </c>
      <c r="H167" s="114">
        <f t="shared" si="19"/>
        <v>14.5</v>
      </c>
      <c r="I167" s="104" t="s">
        <v>11</v>
      </c>
      <c r="J167" s="116"/>
      <c r="K167" s="104" t="s">
        <v>22</v>
      </c>
      <c r="L167" s="114">
        <f t="shared" si="20"/>
        <v>14.5</v>
      </c>
      <c r="M167" s="104" t="s">
        <v>11</v>
      </c>
    </row>
    <row r="168" spans="1:21" ht="13.8" thickBot="1" x14ac:dyDescent="0.3">
      <c r="B168" s="101"/>
      <c r="C168" s="102" t="s">
        <v>319</v>
      </c>
      <c r="D168" s="101"/>
      <c r="E168" s="101"/>
      <c r="F168" s="116">
        <v>40</v>
      </c>
      <c r="G168" s="104" t="s">
        <v>22</v>
      </c>
      <c r="H168" s="114">
        <f t="shared" si="19"/>
        <v>14.5</v>
      </c>
      <c r="I168" s="104" t="s">
        <v>11</v>
      </c>
      <c r="J168" s="116">
        <v>40</v>
      </c>
      <c r="K168" s="104" t="s">
        <v>22</v>
      </c>
      <c r="L168" s="114">
        <f t="shared" si="20"/>
        <v>14.5</v>
      </c>
      <c r="M168" s="104" t="s">
        <v>11</v>
      </c>
    </row>
    <row r="169" spans="1:21" ht="13.8" thickBot="1" x14ac:dyDescent="0.3">
      <c r="B169" s="101"/>
      <c r="C169" s="102" t="s">
        <v>306</v>
      </c>
      <c r="D169" s="101"/>
      <c r="E169" s="101"/>
      <c r="F169" s="116">
        <v>10</v>
      </c>
      <c r="G169" s="104" t="s">
        <v>22</v>
      </c>
      <c r="H169" s="114">
        <f t="shared" si="19"/>
        <v>14.5</v>
      </c>
      <c r="I169" s="104" t="s">
        <v>11</v>
      </c>
      <c r="J169" s="116"/>
      <c r="K169" s="104" t="s">
        <v>22</v>
      </c>
      <c r="L169" s="114">
        <f t="shared" si="20"/>
        <v>14.5</v>
      </c>
      <c r="M169" s="104" t="s">
        <v>11</v>
      </c>
    </row>
    <row r="170" spans="1:21" ht="13.8" thickBot="1" x14ac:dyDescent="0.3">
      <c r="B170" s="101"/>
      <c r="C170" s="102" t="s">
        <v>305</v>
      </c>
      <c r="D170" s="101"/>
      <c r="E170" s="101"/>
      <c r="F170" s="116"/>
      <c r="G170" s="104" t="s">
        <v>22</v>
      </c>
      <c r="H170" s="114">
        <f t="shared" si="19"/>
        <v>14.5</v>
      </c>
      <c r="I170" s="104" t="s">
        <v>11</v>
      </c>
      <c r="J170" s="97"/>
      <c r="K170" s="104" t="s">
        <v>22</v>
      </c>
      <c r="L170" s="114">
        <f t="shared" si="20"/>
        <v>14.5</v>
      </c>
      <c r="M170" s="104" t="s">
        <v>11</v>
      </c>
    </row>
    <row r="171" spans="1:21" ht="13.8" thickBot="1" x14ac:dyDescent="0.3">
      <c r="B171" s="101"/>
      <c r="C171" s="102" t="s">
        <v>305</v>
      </c>
      <c r="D171" s="101"/>
      <c r="E171" s="101"/>
      <c r="F171" s="116"/>
      <c r="G171" s="104" t="s">
        <v>22</v>
      </c>
      <c r="H171" s="114">
        <f t="shared" si="19"/>
        <v>14.5</v>
      </c>
      <c r="I171" s="104" t="s">
        <v>11</v>
      </c>
      <c r="J171" s="97"/>
      <c r="K171" s="104" t="s">
        <v>22</v>
      </c>
      <c r="L171" s="114">
        <f t="shared" si="20"/>
        <v>14.5</v>
      </c>
      <c r="M171" s="104" t="s">
        <v>11</v>
      </c>
    </row>
    <row r="172" spans="1:21" ht="13.8" thickBot="1" x14ac:dyDescent="0.3">
      <c r="B172" s="101"/>
      <c r="C172" s="102" t="s">
        <v>305</v>
      </c>
      <c r="D172" s="103"/>
      <c r="E172" s="103"/>
      <c r="F172" s="97"/>
      <c r="G172" s="104" t="s">
        <v>22</v>
      </c>
      <c r="H172" s="114">
        <f t="shared" si="19"/>
        <v>14.5</v>
      </c>
      <c r="I172" s="104" t="s">
        <v>11</v>
      </c>
      <c r="J172" s="97"/>
      <c r="K172" s="104" t="s">
        <v>22</v>
      </c>
      <c r="L172" s="114">
        <f t="shared" si="20"/>
        <v>14.5</v>
      </c>
      <c r="M172" s="104" t="s">
        <v>11</v>
      </c>
    </row>
    <row r="173" spans="1:21" x14ac:dyDescent="0.25">
      <c r="B173" s="264"/>
      <c r="C173" s="265" t="s">
        <v>196</v>
      </c>
      <c r="D173" s="266"/>
      <c r="E173" s="266"/>
      <c r="F173" s="267">
        <f>SUM(F155:F172)</f>
        <v>149</v>
      </c>
      <c r="G173" s="264" t="s">
        <v>22</v>
      </c>
      <c r="H173" s="268">
        <f>F173*H155</f>
        <v>2160.5</v>
      </c>
      <c r="I173" s="264" t="s">
        <v>14</v>
      </c>
      <c r="J173" s="269">
        <f>SUM(J155:J172)</f>
        <v>60</v>
      </c>
      <c r="K173" s="264" t="s">
        <v>22</v>
      </c>
      <c r="L173" s="268">
        <f>J173*L155</f>
        <v>870</v>
      </c>
      <c r="M173" s="264" t="s">
        <v>14</v>
      </c>
    </row>
    <row r="175" spans="1:21" ht="40.049999999999997" customHeight="1" x14ac:dyDescent="0.25">
      <c r="N175" s="8"/>
      <c r="O175" s="8"/>
      <c r="P175" s="8"/>
      <c r="Q175" s="8"/>
      <c r="R175" s="8"/>
      <c r="S175" s="8"/>
      <c r="T175" s="8"/>
      <c r="U175" s="8"/>
    </row>
    <row r="178" spans="1:21" ht="37.950000000000003" customHeight="1" x14ac:dyDescent="0.25"/>
    <row r="190" spans="1:21" s="8" customFormat="1" x14ac:dyDescent="0.25">
      <c r="A190" s="555"/>
      <c r="B190"/>
      <c r="C190"/>
      <c r="D190"/>
      <c r="E190"/>
      <c r="F190"/>
      <c r="G190"/>
      <c r="H190"/>
      <c r="I190"/>
      <c r="J190"/>
      <c r="K190"/>
      <c r="L190"/>
      <c r="M190"/>
      <c r="N190"/>
      <c r="O190"/>
      <c r="P190"/>
      <c r="Q190"/>
      <c r="R190"/>
      <c r="S190"/>
      <c r="T190"/>
      <c r="U190"/>
    </row>
    <row r="192" spans="1:21" x14ac:dyDescent="0.25">
      <c r="N192" s="8"/>
      <c r="O192" s="8"/>
      <c r="P192" s="8"/>
      <c r="Q192" s="8"/>
      <c r="R192" s="8"/>
      <c r="S192" s="8"/>
      <c r="T192" s="8"/>
      <c r="U192" s="8"/>
    </row>
  </sheetData>
  <mergeCells count="45">
    <mergeCell ref="F129:G129"/>
    <mergeCell ref="H129:I129"/>
    <mergeCell ref="J129:K129"/>
    <mergeCell ref="F108:G108"/>
    <mergeCell ref="H108:I108"/>
    <mergeCell ref="J108:K108"/>
    <mergeCell ref="F121:G121"/>
    <mergeCell ref="H121:I121"/>
    <mergeCell ref="J121:K121"/>
    <mergeCell ref="B151:M151"/>
    <mergeCell ref="E153:G153"/>
    <mergeCell ref="H153:I153"/>
    <mergeCell ref="J153:K153"/>
    <mergeCell ref="L153:M153"/>
    <mergeCell ref="B69:E69"/>
    <mergeCell ref="L69:M69"/>
    <mergeCell ref="F87:G87"/>
    <mergeCell ref="H87:I87"/>
    <mergeCell ref="J87:K87"/>
    <mergeCell ref="F71:G71"/>
    <mergeCell ref="H71:I71"/>
    <mergeCell ref="J71:K71"/>
    <mergeCell ref="F76:G76"/>
    <mergeCell ref="H76:I76"/>
    <mergeCell ref="J76:K76"/>
    <mergeCell ref="B57:D57"/>
    <mergeCell ref="B62:D62"/>
    <mergeCell ref="B66:D66"/>
    <mergeCell ref="B38:D38"/>
    <mergeCell ref="C41:D41"/>
    <mergeCell ref="B45:D45"/>
    <mergeCell ref="C48:D48"/>
    <mergeCell ref="B52:C52"/>
    <mergeCell ref="C55:D55"/>
    <mergeCell ref="B64:D64"/>
    <mergeCell ref="C34:D34"/>
    <mergeCell ref="B4:L4"/>
    <mergeCell ref="O9:Q9"/>
    <mergeCell ref="T9:U9"/>
    <mergeCell ref="B11:D11"/>
    <mergeCell ref="O18:Q18"/>
    <mergeCell ref="B26:E26"/>
    <mergeCell ref="B27:E27"/>
    <mergeCell ref="B28:D28"/>
    <mergeCell ref="B31:C31"/>
  </mergeCells>
  <hyperlinks>
    <hyperlink ref="B2" location="'Gårdens info'!A1" display="TILL FRAMSIDAN" xr:uid="{8F0D0D22-9856-FE4E-B504-FE76BF3D7A53}"/>
    <hyperlink ref="B2:C2" location="'Gårdens info'!A1" display="ÅTERGÅ TILL FRAMSIDAN" xr:uid="{E32054AB-A876-8F46-AA93-8B7CF012D098}"/>
    <hyperlink ref="B31:C31" location="Ägendom!B13" display="BYGGNADER" xr:uid="{9BE5996F-DBA8-104B-A165-74E8A3D299F4}"/>
    <hyperlink ref="B38:D38" location="Ägendom!B27" display="MASKINER OCH UTRUSTNING" xr:uid="{7529A5A3-EE4B-B64E-9ABD-25F2DBBC6BEC}"/>
    <hyperlink ref="B45:D45" location="Ägendom!B56" display="LÅNGVARIGA PRODUKTIONSMEDEL" xr:uid="{274934D6-6B55-BE43-B0F1-5953178F7CED}"/>
    <hyperlink ref="B52:C52" location="Ägendom!B79" display="TÄCKDIKEN" xr:uid="{43EEDB18-D2EA-2D40-BB51-8F7ADD0A9577}"/>
    <hyperlink ref="L69" location="'Avomaan mansikka'!B2" display="PALAA SIVUN YLÄLAITAAN" xr:uid="{35C8FFC3-2654-D344-8DCF-BAF37EFD71BC}"/>
    <hyperlink ref="L69:M69" location="Morot!A1" display="TILL SIDANS BÖRJAN" xr:uid="{D09237DB-E87E-004B-9E6E-0FDD2D982D30}"/>
    <hyperlink ref="B26:E26" location="'Gårdens info'!A131" display="ALLMÄNNA KOSTNADER, morotens andel" xr:uid="{D018F827-3B6F-C547-8801-A6C409A150C9}"/>
  </hyperlinks>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F492D-0DD7-CF4F-A49F-EF1289D582DF}">
  <sheetPr>
    <tabColor rgb="FF92D050"/>
  </sheetPr>
  <dimension ref="A1:AD188"/>
  <sheetViews>
    <sheetView topLeftCell="A160" workbookViewId="0">
      <selection activeCell="B52" sqref="B52:C52"/>
    </sheetView>
  </sheetViews>
  <sheetFormatPr defaultColWidth="11.44140625" defaultRowHeight="13.2" x14ac:dyDescent="0.25"/>
  <cols>
    <col min="1" max="1" width="5.33203125" style="575" customWidth="1"/>
    <col min="3" max="3" width="16.77734375" customWidth="1"/>
    <col min="4" max="4" width="22.6640625" customWidth="1"/>
    <col min="5" max="5" width="12.109375" bestFit="1" customWidth="1"/>
    <col min="6" max="6" width="20.6640625" bestFit="1" customWidth="1"/>
    <col min="7" max="7" width="6.33203125" customWidth="1"/>
    <col min="9" max="9" width="6" customWidth="1"/>
    <col min="10" max="10" width="15.109375" customWidth="1"/>
    <col min="11" max="11" width="9.6640625" customWidth="1"/>
    <col min="12" max="12" width="20" customWidth="1"/>
    <col min="13" max="13" width="12.109375" customWidth="1"/>
    <col min="14" max="14" width="9.44140625" customWidth="1"/>
    <col min="15" max="15" width="7.77734375" customWidth="1"/>
    <col min="16" max="16" width="4.44140625" customWidth="1"/>
    <col min="17" max="17" width="15" customWidth="1"/>
    <col min="18" max="18" width="5.109375" customWidth="1"/>
    <col min="19" max="19" width="18.33203125" bestFit="1" customWidth="1"/>
  </cols>
  <sheetData>
    <row r="1" spans="1:21" s="575" customFormat="1" ht="22.8" x14ac:dyDescent="0.4">
      <c r="B1" s="583" t="s">
        <v>109</v>
      </c>
    </row>
    <row r="2" spans="1:21" ht="27" customHeight="1" x14ac:dyDescent="0.3">
      <c r="B2" s="852" t="s">
        <v>337</v>
      </c>
      <c r="C2" s="852"/>
      <c r="F2" s="91"/>
      <c r="G2" s="91"/>
      <c r="H2" s="91"/>
    </row>
    <row r="3" spans="1:21" ht="27" customHeight="1" x14ac:dyDescent="0.3">
      <c r="B3" s="839"/>
      <c r="C3" s="839"/>
    </row>
    <row r="4" spans="1:21" ht="40.049999999999997" customHeight="1" x14ac:dyDescent="0.3">
      <c r="B4" s="942" t="s">
        <v>236</v>
      </c>
      <c r="C4" s="942"/>
      <c r="D4" s="942"/>
      <c r="E4" s="942"/>
      <c r="F4" s="942"/>
      <c r="G4" s="942"/>
      <c r="H4" s="942"/>
      <c r="I4" s="942"/>
      <c r="J4" s="942"/>
      <c r="K4" s="942"/>
      <c r="L4" s="942"/>
    </row>
    <row r="5" spans="1:21" ht="27" customHeight="1" thickBot="1" x14ac:dyDescent="0.35">
      <c r="B5" s="233"/>
      <c r="C5" s="233"/>
    </row>
    <row r="6" spans="1:21" ht="27" customHeight="1" x14ac:dyDescent="0.4">
      <c r="B6" s="318" t="s">
        <v>252</v>
      </c>
      <c r="C6" s="282"/>
      <c r="D6" s="283"/>
      <c r="E6" s="283"/>
      <c r="F6" s="283"/>
      <c r="G6" s="283"/>
      <c r="H6" s="283"/>
      <c r="I6" s="283"/>
      <c r="J6" s="283"/>
      <c r="K6" s="283"/>
      <c r="L6" s="283"/>
      <c r="M6" s="284"/>
      <c r="N6" s="441"/>
      <c r="O6" s="283"/>
      <c r="P6" s="283"/>
      <c r="Q6" s="283"/>
      <c r="R6" s="283"/>
      <c r="S6" s="283"/>
      <c r="T6" s="283"/>
      <c r="U6" s="284"/>
    </row>
    <row r="7" spans="1:21" ht="27" customHeight="1" x14ac:dyDescent="0.4">
      <c r="B7" s="285"/>
      <c r="C7" s="286"/>
      <c r="D7" s="148"/>
      <c r="E7" s="148"/>
      <c r="F7" s="148"/>
      <c r="G7" s="148"/>
      <c r="H7" s="148"/>
      <c r="I7" s="148"/>
      <c r="J7" s="148"/>
      <c r="K7" s="148"/>
      <c r="L7" s="148"/>
      <c r="M7" s="287"/>
      <c r="N7" s="442"/>
      <c r="O7" s="148"/>
      <c r="P7" s="148"/>
      <c r="Q7" s="148"/>
      <c r="R7" s="148"/>
      <c r="S7" s="148"/>
      <c r="T7" s="148"/>
      <c r="U7" s="287"/>
    </row>
    <row r="8" spans="1:21" ht="21" x14ac:dyDescent="0.4">
      <c r="B8" s="319" t="s">
        <v>238</v>
      </c>
      <c r="C8" s="286"/>
      <c r="D8" s="148"/>
      <c r="E8" s="151"/>
      <c r="F8" s="151"/>
      <c r="G8" s="151"/>
      <c r="H8" s="151"/>
      <c r="I8" s="148"/>
      <c r="J8" s="148"/>
      <c r="K8" s="148"/>
      <c r="L8" s="148"/>
      <c r="M8" s="287"/>
      <c r="N8" s="319" t="s">
        <v>239</v>
      </c>
      <c r="O8" s="148"/>
      <c r="P8" s="148"/>
      <c r="Q8" s="148"/>
      <c r="R8" s="148"/>
      <c r="S8" s="148"/>
      <c r="T8" s="148"/>
      <c r="U8" s="300"/>
    </row>
    <row r="9" spans="1:21" ht="21" customHeight="1" thickBot="1" x14ac:dyDescent="0.35">
      <c r="B9" s="288"/>
      <c r="C9" s="289" t="s">
        <v>239</v>
      </c>
      <c r="D9" s="151"/>
      <c r="E9" s="151"/>
      <c r="F9" s="290">
        <f>H9*'Gårdens info'!G11</f>
        <v>41800</v>
      </c>
      <c r="G9" s="151" t="s">
        <v>14</v>
      </c>
      <c r="H9" s="619">
        <f>IF('Gårdens info'!G11&gt;0,(('Gårdens info'!D11*'Gårdens info'!G11*S10*T10)+('Gårdens info'!D11*'Gårdens info'!G11*S11*T11)+('Gårdens info'!D11*'Gårdens info'!G11*S12*T12)+('Gårdens info'!D11*'Gårdens info'!G11*S13*T13)+('Gårdens info'!D11*'Gårdens info'!G11*S14*T14)+('Gårdens info'!D11*'Gårdens info'!G11*S15*T15)+('Gårdens info'!D11*'Gårdens info'!G11*S16*T16)+('Gårdens info'!D11*'Gårdens info'!G11*S17*T17))/(('Gårdens info'!D11*'Gårdens info'!G11)),0)</f>
        <v>0.76</v>
      </c>
      <c r="I9" s="151" t="s">
        <v>6</v>
      </c>
      <c r="J9" s="290">
        <f>F9*'Gårdens info'!D11</f>
        <v>41800</v>
      </c>
      <c r="K9" s="151" t="s">
        <v>330</v>
      </c>
      <c r="L9" s="151"/>
      <c r="M9" s="287"/>
      <c r="N9" s="442"/>
      <c r="O9" s="943" t="s">
        <v>341</v>
      </c>
      <c r="P9" s="943"/>
      <c r="Q9" s="943"/>
      <c r="R9" s="443"/>
      <c r="S9" s="444" t="s">
        <v>339</v>
      </c>
      <c r="T9" s="967" t="s">
        <v>340</v>
      </c>
      <c r="U9" s="968"/>
    </row>
    <row r="10" spans="1:21" ht="15.6" thickBot="1" x14ac:dyDescent="0.3">
      <c r="B10" s="288"/>
      <c r="C10" s="151" t="s">
        <v>224</v>
      </c>
      <c r="D10" s="151"/>
      <c r="E10" s="151"/>
      <c r="F10" s="290">
        <f>IF('Gårdens info'!D11&gt;0,Stöd!J6/'Gårdens info'!D37*Stöd!L6+Stöd!J7/'Gårdens info'!D37*Stöd!L7+Stöd!J8/'Gårdens info'!D37*Stöd!L8+Stöd!J12/'Gårdens info'!D37*Stöd!L12+Stöd!J16/'Gårdens info'!D37*Stöd!L16+Stöd!J18/'Gårdens info'!D37*Stöd!L18+Stöd!J19/'Gårdens info'!D37*Stöd!L19+Stöd!J20/'Gårdens info'!D37*Stöd!L20+Stöd!J21/'Gårdens info'!D37*Stöd!L21,0)</f>
        <v>0</v>
      </c>
      <c r="G10" s="151" t="s">
        <v>14</v>
      </c>
      <c r="H10" s="619">
        <f>IF('Gårdens info'!G11&gt;0,F10/'Gårdens info'!G11,0)</f>
        <v>0</v>
      </c>
      <c r="I10" s="151" t="s">
        <v>6</v>
      </c>
      <c r="J10" s="290">
        <f>F10*'Gårdens info'!D11</f>
        <v>0</v>
      </c>
      <c r="K10" s="151" t="s">
        <v>330</v>
      </c>
      <c r="L10" s="151"/>
      <c r="M10" s="287"/>
      <c r="N10" s="442"/>
      <c r="O10" s="151">
        <v>1</v>
      </c>
      <c r="P10" s="151" t="s">
        <v>21</v>
      </c>
      <c r="Q10" s="151" t="s">
        <v>333</v>
      </c>
      <c r="R10" s="151"/>
      <c r="S10" s="452">
        <v>0</v>
      </c>
      <c r="T10" s="317"/>
      <c r="U10" s="300" t="s">
        <v>6</v>
      </c>
    </row>
    <row r="11" spans="1:21" s="8" customFormat="1" ht="21.6" customHeight="1" thickBot="1" x14ac:dyDescent="0.45">
      <c r="A11" s="576"/>
      <c r="B11" s="932" t="s">
        <v>240</v>
      </c>
      <c r="C11" s="933"/>
      <c r="D11" s="933"/>
      <c r="E11" s="324"/>
      <c r="F11" s="328">
        <f>F9+F10</f>
        <v>41800</v>
      </c>
      <c r="G11" s="329" t="s">
        <v>14</v>
      </c>
      <c r="H11" s="618">
        <f>H9+H10</f>
        <v>0.76</v>
      </c>
      <c r="I11" s="329" t="s">
        <v>6</v>
      </c>
      <c r="J11" s="331">
        <f>J9+J10</f>
        <v>41800</v>
      </c>
      <c r="K11" s="329" t="s">
        <v>330</v>
      </c>
      <c r="L11" s="329"/>
      <c r="M11" s="321"/>
      <c r="N11" s="445"/>
      <c r="O11" s="151">
        <v>0.25</v>
      </c>
      <c r="P11" s="151" t="s">
        <v>21</v>
      </c>
      <c r="Q11" s="151" t="s">
        <v>334</v>
      </c>
      <c r="R11" s="151"/>
      <c r="S11" s="454">
        <v>0</v>
      </c>
      <c r="T11" s="317"/>
      <c r="U11" s="300" t="s">
        <v>6</v>
      </c>
    </row>
    <row r="12" spans="1:21" s="8" customFormat="1" ht="21.6" thickBot="1" x14ac:dyDescent="0.45">
      <c r="A12" s="576"/>
      <c r="B12" s="832"/>
      <c r="C12" s="833"/>
      <c r="D12" s="833"/>
      <c r="E12" s="324"/>
      <c r="F12" s="328"/>
      <c r="G12" s="329"/>
      <c r="H12" s="330"/>
      <c r="I12" s="329"/>
      <c r="J12" s="331"/>
      <c r="K12" s="329"/>
      <c r="L12" s="329"/>
      <c r="M12" s="321"/>
      <c r="N12" s="445"/>
      <c r="O12" s="151">
        <v>0.5</v>
      </c>
      <c r="P12" s="151" t="s">
        <v>21</v>
      </c>
      <c r="Q12" s="151" t="s">
        <v>333</v>
      </c>
      <c r="R12" s="151"/>
      <c r="S12" s="454">
        <v>0</v>
      </c>
      <c r="T12" s="317"/>
      <c r="U12" s="300" t="s">
        <v>6</v>
      </c>
    </row>
    <row r="13" spans="1:21" ht="22.05" customHeight="1" thickBot="1" x14ac:dyDescent="0.35">
      <c r="B13" s="292"/>
      <c r="C13" s="286"/>
      <c r="D13" s="148"/>
      <c r="E13" s="148"/>
      <c r="F13" s="148"/>
      <c r="G13" s="148"/>
      <c r="H13" s="148"/>
      <c r="I13" s="148"/>
      <c r="J13" s="293"/>
      <c r="K13" s="148"/>
      <c r="L13" s="148"/>
      <c r="M13" s="287"/>
      <c r="N13" s="442"/>
      <c r="O13" s="151">
        <v>10</v>
      </c>
      <c r="P13" s="151" t="s">
        <v>21</v>
      </c>
      <c r="Q13" s="151" t="s">
        <v>342</v>
      </c>
      <c r="R13" s="151"/>
      <c r="S13" s="454">
        <v>1</v>
      </c>
      <c r="T13" s="317">
        <v>0.76</v>
      </c>
      <c r="U13" s="300" t="s">
        <v>6</v>
      </c>
    </row>
    <row r="14" spans="1:21" ht="21.6" thickBot="1" x14ac:dyDescent="0.45">
      <c r="B14" s="319" t="s">
        <v>241</v>
      </c>
      <c r="C14" s="286"/>
      <c r="D14" s="148"/>
      <c r="E14" s="148"/>
      <c r="F14" s="148"/>
      <c r="G14" s="148"/>
      <c r="H14" s="148"/>
      <c r="I14" s="148"/>
      <c r="J14" s="293"/>
      <c r="K14" s="148"/>
      <c r="L14" s="148"/>
      <c r="M14" s="287"/>
      <c r="N14" s="442"/>
      <c r="O14" s="812">
        <f>D111</f>
        <v>0</v>
      </c>
      <c r="P14" s="151" t="s">
        <v>21</v>
      </c>
      <c r="Q14" s="362" t="str">
        <f>C111</f>
        <v>förpackning X</v>
      </c>
      <c r="R14" s="151"/>
      <c r="S14" s="454">
        <v>0</v>
      </c>
      <c r="T14" s="317"/>
      <c r="U14" s="300" t="s">
        <v>6</v>
      </c>
    </row>
    <row r="15" spans="1:21" s="77" customFormat="1" ht="16.95" customHeight="1" thickBot="1" x14ac:dyDescent="0.35">
      <c r="A15" s="578"/>
      <c r="B15" s="602"/>
      <c r="C15" s="306"/>
      <c r="D15" s="310"/>
      <c r="E15" s="310"/>
      <c r="F15" s="311"/>
      <c r="G15" s="153"/>
      <c r="H15" s="310"/>
      <c r="I15" s="310"/>
      <c r="J15" s="310"/>
      <c r="K15" s="310"/>
      <c r="L15" s="310"/>
      <c r="M15" s="295"/>
      <c r="N15" s="442"/>
      <c r="O15" s="812">
        <f t="shared" ref="O15:O17" si="0">D112</f>
        <v>0</v>
      </c>
      <c r="P15" s="151" t="s">
        <v>21</v>
      </c>
      <c r="Q15" s="362" t="str">
        <f t="shared" ref="Q15:Q17" si="1">C112</f>
        <v>förpackning X</v>
      </c>
      <c r="R15" s="151"/>
      <c r="S15" s="454">
        <v>0</v>
      </c>
      <c r="T15" s="317"/>
      <c r="U15" s="300" t="s">
        <v>6</v>
      </c>
    </row>
    <row r="16" spans="1:21" s="91" customFormat="1" ht="16.95" customHeight="1" thickBot="1" x14ac:dyDescent="0.3">
      <c r="A16" s="578"/>
      <c r="B16" s="602"/>
      <c r="C16" s="289" t="s">
        <v>243</v>
      </c>
      <c r="D16" s="297"/>
      <c r="E16" s="297"/>
      <c r="F16" s="308">
        <f>IF('Gårdens info'!D11&gt;0,J73,0)</f>
        <v>1350</v>
      </c>
      <c r="G16" s="151" t="s">
        <v>14</v>
      </c>
      <c r="H16" s="614">
        <f>IF('Gårdens info'!$G$11&gt;0,F16/'Gårdens info'!$G$11,)</f>
        <v>2.4545454545454544E-2</v>
      </c>
      <c r="I16" s="151" t="s">
        <v>6</v>
      </c>
      <c r="J16" s="298">
        <f>F16*'Gårdens info'!$D$11</f>
        <v>1350</v>
      </c>
      <c r="K16" s="151" t="s">
        <v>330</v>
      </c>
      <c r="L16" s="297"/>
      <c r="M16" s="300"/>
      <c r="N16" s="288"/>
      <c r="O16" s="812">
        <f t="shared" si="0"/>
        <v>0</v>
      </c>
      <c r="P16" s="151" t="s">
        <v>21</v>
      </c>
      <c r="Q16" s="362" t="str">
        <f t="shared" si="1"/>
        <v>förpackning X</v>
      </c>
      <c r="R16" s="151"/>
      <c r="S16" s="454">
        <v>0</v>
      </c>
      <c r="T16" s="317"/>
      <c r="U16" s="300" t="s">
        <v>6</v>
      </c>
    </row>
    <row r="17" spans="1:30" s="91" customFormat="1" ht="15.6" thickBot="1" x14ac:dyDescent="0.3">
      <c r="A17" s="578"/>
      <c r="B17" s="296"/>
      <c r="C17" s="289" t="s">
        <v>244</v>
      </c>
      <c r="D17" s="297"/>
      <c r="E17" s="297"/>
      <c r="F17" s="298">
        <f>IF('Gårdens info'!D11&gt;0,J83,0)</f>
        <v>1720</v>
      </c>
      <c r="G17" s="151" t="s">
        <v>14</v>
      </c>
      <c r="H17" s="614">
        <f>IF('Gårdens info'!$G$11&gt;0,F17/'Gårdens info'!$G$11,)</f>
        <v>3.1272727272727271E-2</v>
      </c>
      <c r="I17" s="151" t="s">
        <v>6</v>
      </c>
      <c r="J17" s="298">
        <f>F17*'Gårdens info'!$D$11</f>
        <v>1720</v>
      </c>
      <c r="K17" s="151" t="s">
        <v>330</v>
      </c>
      <c r="L17" s="297"/>
      <c r="M17" s="300"/>
      <c r="N17" s="442"/>
      <c r="O17" s="812">
        <f t="shared" si="0"/>
        <v>0</v>
      </c>
      <c r="P17" s="151" t="s">
        <v>21</v>
      </c>
      <c r="Q17" s="362" t="str">
        <f t="shared" si="1"/>
        <v>förpackning X</v>
      </c>
      <c r="R17" s="151"/>
      <c r="S17" s="453">
        <v>0</v>
      </c>
      <c r="T17" s="317"/>
      <c r="U17" s="300" t="s">
        <v>6</v>
      </c>
    </row>
    <row r="18" spans="1:30" s="91" customFormat="1" ht="17.399999999999999" x14ac:dyDescent="0.3">
      <c r="A18" s="578"/>
      <c r="B18" s="296"/>
      <c r="C18" s="289" t="s">
        <v>245</v>
      </c>
      <c r="D18" s="297"/>
      <c r="E18" s="297"/>
      <c r="F18" s="298">
        <f>IF('Gårdens info'!D11&gt;0,J102,0)</f>
        <v>55.92</v>
      </c>
      <c r="G18" s="151" t="s">
        <v>14</v>
      </c>
      <c r="H18" s="614">
        <f>IF('Gårdens info'!$G$11&gt;0,F18/'Gårdens info'!$G$11,)</f>
        <v>1.0167272727272727E-3</v>
      </c>
      <c r="I18" s="151" t="s">
        <v>6</v>
      </c>
      <c r="J18" s="298">
        <f>F18*'Gårdens info'!$D$11</f>
        <v>55.92</v>
      </c>
      <c r="K18" s="151" t="s">
        <v>330</v>
      </c>
      <c r="L18" s="297"/>
      <c r="M18" s="300"/>
      <c r="N18" s="446"/>
      <c r="O18" s="946" t="s">
        <v>222</v>
      </c>
      <c r="P18" s="946"/>
      <c r="Q18" s="946"/>
      <c r="R18" s="153"/>
      <c r="S18" s="450">
        <f>SUM(S10:S17)</f>
        <v>1</v>
      </c>
      <c r="T18" s="153"/>
      <c r="U18" s="295"/>
    </row>
    <row r="19" spans="1:30" s="91" customFormat="1" ht="15.6" x14ac:dyDescent="0.3">
      <c r="A19" s="578"/>
      <c r="B19" s="296"/>
      <c r="C19" s="289" t="s">
        <v>246</v>
      </c>
      <c r="D19" s="297"/>
      <c r="E19" s="297"/>
      <c r="F19" s="298">
        <f>IF('Gårdens info'!D11&gt;0,J115,0)</f>
        <v>2750</v>
      </c>
      <c r="G19" s="151" t="s">
        <v>14</v>
      </c>
      <c r="H19" s="614">
        <f>IF('Gårdens info'!$G$11&gt;0,F19/'Gårdens info'!$G$11,)</f>
        <v>0.05</v>
      </c>
      <c r="I19" s="151" t="s">
        <v>6</v>
      </c>
      <c r="J19" s="298">
        <f>F19*'Gårdens info'!$D$11</f>
        <v>2750</v>
      </c>
      <c r="K19" s="151" t="s">
        <v>330</v>
      </c>
      <c r="L19" s="297"/>
      <c r="M19" s="300"/>
      <c r="N19" s="288"/>
      <c r="O19" s="451" t="str">
        <f>IF(S18=100%," ","HUOM! Osuus myyynneistä pitää summautua 100 prosenttiin")</f>
        <v xml:space="preserve"> </v>
      </c>
      <c r="P19" s="151"/>
      <c r="R19" s="151"/>
      <c r="S19" s="151"/>
      <c r="T19" s="151"/>
      <c r="U19" s="300"/>
    </row>
    <row r="20" spans="1:30" s="91" customFormat="1" ht="15.6" thickBot="1" x14ac:dyDescent="0.3">
      <c r="A20" s="578"/>
      <c r="B20" s="296"/>
      <c r="C20" s="289" t="s">
        <v>247</v>
      </c>
      <c r="D20" s="297"/>
      <c r="E20" s="297"/>
      <c r="F20" s="298">
        <f>IF('Gårdens info'!D11&gt;0,J123,0)</f>
        <v>990</v>
      </c>
      <c r="G20" s="151" t="s">
        <v>14</v>
      </c>
      <c r="H20" s="614">
        <f>IF('Gårdens info'!$G$11&gt;0,F20/'Gårdens info'!$G$11,)</f>
        <v>1.7999999999999999E-2</v>
      </c>
      <c r="I20" s="151" t="s">
        <v>6</v>
      </c>
      <c r="J20" s="298">
        <f>F20*'Gårdens info'!$D$11</f>
        <v>990</v>
      </c>
      <c r="K20" s="151" t="s">
        <v>330</v>
      </c>
      <c r="L20" s="297"/>
      <c r="M20" s="300"/>
      <c r="N20" s="447"/>
      <c r="O20" s="448"/>
      <c r="P20" s="448"/>
      <c r="Q20" s="448"/>
      <c r="R20" s="448"/>
      <c r="S20" s="448"/>
      <c r="T20" s="448"/>
      <c r="U20" s="449"/>
    </row>
    <row r="21" spans="1:30" s="91" customFormat="1" ht="15" x14ac:dyDescent="0.25">
      <c r="A21" s="578"/>
      <c r="B21" s="296"/>
      <c r="C21" s="289" t="s">
        <v>248</v>
      </c>
      <c r="D21" s="297"/>
      <c r="E21" s="297"/>
      <c r="F21" s="298">
        <f>IF('Gårdens info'!D11&gt;0,J131,0)</f>
        <v>0</v>
      </c>
      <c r="G21" s="151" t="s">
        <v>14</v>
      </c>
      <c r="H21" s="614">
        <f>IF('Gårdens info'!$G$11&gt;0,F21/'Gårdens info'!$G$11,)</f>
        <v>0</v>
      </c>
      <c r="I21" s="151" t="s">
        <v>6</v>
      </c>
      <c r="J21" s="298">
        <f>F21*'Gårdens info'!$D$11</f>
        <v>0</v>
      </c>
      <c r="K21" s="151" t="s">
        <v>330</v>
      </c>
      <c r="L21" s="297"/>
      <c r="M21" s="300"/>
    </row>
    <row r="22" spans="1:30" s="91" customFormat="1" ht="15" x14ac:dyDescent="0.25">
      <c r="A22" s="578"/>
      <c r="B22" s="296"/>
      <c r="C22" s="289" t="s">
        <v>249</v>
      </c>
      <c r="D22" s="297"/>
      <c r="E22" s="297"/>
      <c r="F22" s="298">
        <f>IF('Gårdens info'!D11&gt;0,J143,0)</f>
        <v>2406.6</v>
      </c>
      <c r="G22" s="151" t="s">
        <v>14</v>
      </c>
      <c r="H22" s="614">
        <f>IF('Gårdens info'!$G$11&gt;0,F22/'Gårdens info'!$G$11,)</f>
        <v>4.3756363636363635E-2</v>
      </c>
      <c r="I22" s="151" t="s">
        <v>6</v>
      </c>
      <c r="J22" s="298">
        <f>F22*'Gårdens info'!$D$11</f>
        <v>2406.6</v>
      </c>
      <c r="K22" s="151" t="s">
        <v>330</v>
      </c>
      <c r="L22" s="297"/>
      <c r="M22" s="300"/>
    </row>
    <row r="23" spans="1:30" s="91" customFormat="1" ht="15" x14ac:dyDescent="0.25">
      <c r="A23" s="578"/>
      <c r="B23" s="296"/>
      <c r="C23" s="289" t="s">
        <v>250</v>
      </c>
      <c r="D23" s="297"/>
      <c r="E23" s="297"/>
      <c r="F23" s="298">
        <f>IF('Gårdens info'!D11&gt;0,L169,0)</f>
        <v>1015</v>
      </c>
      <c r="G23" s="151" t="s">
        <v>14</v>
      </c>
      <c r="H23" s="614">
        <f>IF('Gårdens info'!$G$11&gt;0,F23/'Gårdens info'!$G$11,)</f>
        <v>1.8454545454545456E-2</v>
      </c>
      <c r="I23" s="151" t="s">
        <v>6</v>
      </c>
      <c r="J23" s="298">
        <f>F23*'Gårdens info'!$D$11</f>
        <v>1015</v>
      </c>
      <c r="K23" s="151" t="s">
        <v>330</v>
      </c>
      <c r="L23" s="297"/>
      <c r="M23" s="300"/>
      <c r="AA23" s="858"/>
      <c r="AB23" s="858"/>
      <c r="AC23" s="858"/>
      <c r="AD23" s="858"/>
    </row>
    <row r="24" spans="1:30" ht="15.6" x14ac:dyDescent="0.3">
      <c r="B24" s="312"/>
      <c r="C24" s="301" t="s">
        <v>196</v>
      </c>
      <c r="D24" s="302"/>
      <c r="E24" s="302"/>
      <c r="F24" s="303">
        <f>SUM(F16:F23)</f>
        <v>10287.52</v>
      </c>
      <c r="G24" s="304" t="s">
        <v>14</v>
      </c>
      <c r="H24" s="615">
        <f>SUM(H16:H23)</f>
        <v>0.18704581818181817</v>
      </c>
      <c r="I24" s="304" t="s">
        <v>6</v>
      </c>
      <c r="J24" s="303">
        <f>SUM(J16:J23)</f>
        <v>10287.52</v>
      </c>
      <c r="K24" s="304" t="s">
        <v>330</v>
      </c>
      <c r="L24" s="302"/>
      <c r="M24" s="313"/>
      <c r="N24" s="91"/>
      <c r="O24" s="91"/>
      <c r="P24" s="91"/>
      <c r="Q24" s="91"/>
      <c r="R24" s="91"/>
      <c r="S24" s="91"/>
      <c r="T24" s="91"/>
      <c r="U24" s="91"/>
      <c r="AA24" s="868"/>
      <c r="AB24" s="868"/>
      <c r="AC24" s="868"/>
      <c r="AD24" s="868"/>
    </row>
    <row r="25" spans="1:30" s="77" customFormat="1" ht="17.399999999999999" x14ac:dyDescent="0.3">
      <c r="A25" s="577"/>
      <c r="B25" s="292"/>
      <c r="C25" s="306"/>
      <c r="D25" s="307"/>
      <c r="E25" s="307"/>
      <c r="F25" s="308"/>
      <c r="G25" s="151"/>
      <c r="H25" s="616"/>
      <c r="I25" s="307"/>
      <c r="J25" s="307"/>
      <c r="K25" s="307"/>
      <c r="L25" s="307"/>
      <c r="M25" s="287"/>
      <c r="N25" s="91"/>
      <c r="O25" s="91"/>
      <c r="P25" s="91"/>
      <c r="R25" s="91"/>
      <c r="S25" s="91"/>
      <c r="T25" s="91"/>
      <c r="U25" s="91"/>
      <c r="AA25" s="878"/>
      <c r="AB25" s="878" t="s">
        <v>328</v>
      </c>
      <c r="AC25" s="859">
        <f>F16</f>
        <v>1350</v>
      </c>
      <c r="AD25" s="878"/>
    </row>
    <row r="26" spans="1:30" s="91" customFormat="1" ht="17.399999999999999" customHeight="1" x14ac:dyDescent="0.3">
      <c r="A26" s="578"/>
      <c r="B26" s="947" t="s">
        <v>343</v>
      </c>
      <c r="C26" s="948"/>
      <c r="D26" s="948"/>
      <c r="E26" s="948"/>
      <c r="F26" s="325">
        <f>IF('Gårdens info'!D11&gt;0,J26/'Gårdens info'!D11,0)</f>
        <v>414.81481481481484</v>
      </c>
      <c r="G26" s="304" t="s">
        <v>14</v>
      </c>
      <c r="H26" s="617">
        <f>IF('Gårdens info'!G11&gt;0,F26/'Gårdens info'!G11,0)</f>
        <v>7.5420875420875427E-3</v>
      </c>
      <c r="I26" s="304" t="s">
        <v>6</v>
      </c>
      <c r="J26" s="320">
        <f>'Gårdens info'!G147/'Gårdens info'!D37*'Gårdens info'!D11</f>
        <v>414.81481481481484</v>
      </c>
      <c r="K26" s="304" t="s">
        <v>330</v>
      </c>
      <c r="L26" s="327"/>
      <c r="M26" s="321"/>
      <c r="N26"/>
      <c r="O26"/>
      <c r="P26"/>
      <c r="S26"/>
      <c r="T26"/>
      <c r="U26"/>
      <c r="AA26" s="858"/>
      <c r="AB26" s="858" t="str">
        <f t="shared" ref="AB26:AB32" si="2">C17</f>
        <v>Gödsel och kalk</v>
      </c>
      <c r="AC26" s="859">
        <f t="shared" ref="AC26:AC32" si="3">F17</f>
        <v>1720</v>
      </c>
      <c r="AD26" s="858"/>
    </row>
    <row r="27" spans="1:30" s="91" customFormat="1" ht="17.399999999999999" customHeight="1" x14ac:dyDescent="0.3">
      <c r="A27" s="578"/>
      <c r="B27" s="949" t="s">
        <v>345</v>
      </c>
      <c r="C27" s="950"/>
      <c r="D27" s="950"/>
      <c r="E27" s="950"/>
      <c r="F27" s="325">
        <f>'Gårdens info'!$G$42*'Gårdens info'!$D$42/'Gårdens info'!$D$37*'Gårdens info'!D11</f>
        <v>44.444444444444443</v>
      </c>
      <c r="G27" s="304" t="s">
        <v>14</v>
      </c>
      <c r="H27" s="617">
        <f>IF('Gårdens info'!G11&gt;0,F27/'Gårdens info'!G11,0)</f>
        <v>8.0808080808080808E-4</v>
      </c>
      <c r="I27" s="304" t="s">
        <v>6</v>
      </c>
      <c r="J27" s="320">
        <f>F27*'Gårdens info'!D11</f>
        <v>44.444444444444443</v>
      </c>
      <c r="K27" s="304" t="s">
        <v>330</v>
      </c>
      <c r="L27" s="327"/>
      <c r="M27" s="321"/>
      <c r="N27" s="77"/>
      <c r="O27" s="77"/>
      <c r="P27" s="77"/>
      <c r="S27" s="77"/>
      <c r="T27" s="77"/>
      <c r="U27" s="77"/>
      <c r="AA27" s="858"/>
      <c r="AB27" s="858" t="str">
        <f t="shared" si="2"/>
        <v>IPM Växtskydd</v>
      </c>
      <c r="AC27" s="859">
        <f t="shared" si="3"/>
        <v>55.92</v>
      </c>
      <c r="AD27" s="858"/>
    </row>
    <row r="28" spans="1:30" s="91" customFormat="1" ht="21" customHeight="1" x14ac:dyDescent="0.4">
      <c r="A28" s="578"/>
      <c r="B28" s="932" t="s">
        <v>226</v>
      </c>
      <c r="C28" s="933"/>
      <c r="D28" s="933"/>
      <c r="E28" s="324"/>
      <c r="F28" s="328">
        <f>F24+F26+F27</f>
        <v>10746.779259259261</v>
      </c>
      <c r="G28" s="329" t="s">
        <v>14</v>
      </c>
      <c r="H28" s="618">
        <f>H24+H26+H27</f>
        <v>0.19539598653198653</v>
      </c>
      <c r="I28" s="329" t="s">
        <v>6</v>
      </c>
      <c r="J28" s="331">
        <f>J24+J26+J27</f>
        <v>10746.779259259261</v>
      </c>
      <c r="K28" s="329" t="s">
        <v>330</v>
      </c>
      <c r="L28" s="329"/>
      <c r="M28" s="321"/>
      <c r="AA28" s="858"/>
      <c r="AB28" s="858" t="str">
        <f t="shared" si="2"/>
        <v>Packningsmaterial</v>
      </c>
      <c r="AC28" s="859">
        <f t="shared" si="3"/>
        <v>2750</v>
      </c>
      <c r="AD28" s="858"/>
    </row>
    <row r="29" spans="1:30" s="91" customFormat="1" ht="21" x14ac:dyDescent="0.4">
      <c r="A29" s="578"/>
      <c r="B29" s="832"/>
      <c r="C29" s="833"/>
      <c r="D29" s="833"/>
      <c r="E29" s="324"/>
      <c r="F29" s="328"/>
      <c r="G29" s="329"/>
      <c r="H29" s="330"/>
      <c r="I29" s="329"/>
      <c r="J29" s="331"/>
      <c r="K29" s="329"/>
      <c r="L29" s="329"/>
      <c r="M29" s="321"/>
      <c r="AA29" s="858"/>
      <c r="AB29" s="858" t="str">
        <f t="shared" si="2"/>
        <v>Fraktkostnader</v>
      </c>
      <c r="AC29" s="859">
        <f t="shared" si="3"/>
        <v>990</v>
      </c>
      <c r="AD29" s="858"/>
    </row>
    <row r="30" spans="1:30" s="91" customFormat="1" ht="21" x14ac:dyDescent="0.4">
      <c r="A30" s="578"/>
      <c r="B30" s="319" t="s">
        <v>344</v>
      </c>
      <c r="C30" s="286"/>
      <c r="D30" s="148"/>
      <c r="E30" s="148"/>
      <c r="F30" s="148"/>
      <c r="G30" s="148"/>
      <c r="H30" s="148"/>
      <c r="I30" s="148"/>
      <c r="J30" s="293"/>
      <c r="K30" s="148"/>
      <c r="L30" s="148"/>
      <c r="M30" s="287"/>
      <c r="AA30" s="858"/>
      <c r="AB30" s="858" t="str">
        <f t="shared" si="2"/>
        <v>Maskinkostnader och entreprenad</v>
      </c>
      <c r="AC30" s="859">
        <f t="shared" si="3"/>
        <v>0</v>
      </c>
      <c r="AD30" s="858"/>
    </row>
    <row r="31" spans="1:30" s="91" customFormat="1" ht="21" customHeight="1" x14ac:dyDescent="0.4">
      <c r="A31" s="578"/>
      <c r="B31" s="947" t="s">
        <v>149</v>
      </c>
      <c r="C31" s="948"/>
      <c r="D31" s="833"/>
      <c r="E31" s="324"/>
      <c r="F31" s="328"/>
      <c r="G31" s="329"/>
      <c r="H31" s="330"/>
      <c r="I31" s="329"/>
      <c r="J31" s="331"/>
      <c r="K31" s="329"/>
      <c r="L31" s="329"/>
      <c r="M31" s="321"/>
      <c r="AA31" s="858"/>
      <c r="AB31" s="858" t="str">
        <f t="shared" si="2"/>
        <v>Energikostnader</v>
      </c>
      <c r="AC31" s="859">
        <f t="shared" si="3"/>
        <v>2406.6</v>
      </c>
      <c r="AD31" s="858"/>
    </row>
    <row r="32" spans="1:30" s="91" customFormat="1" ht="21" x14ac:dyDescent="0.4">
      <c r="A32" s="578"/>
      <c r="B32" s="350"/>
      <c r="C32" s="838" t="s">
        <v>264</v>
      </c>
      <c r="D32" s="833"/>
      <c r="E32" s="324"/>
      <c r="F32" s="338">
        <f>IF('Gårdens info'!$D$11&gt;0,J32/'Gårdens info'!$D$11,0)</f>
        <v>391.11111111111109</v>
      </c>
      <c r="G32" s="151" t="s">
        <v>14</v>
      </c>
      <c r="H32" s="613">
        <f>IF('Gårdens info'!$G$11&gt;0,F32/'Gårdens info'!$G$11,0)</f>
        <v>7.1111111111111106E-3</v>
      </c>
      <c r="I32" s="151" t="s">
        <v>6</v>
      </c>
      <c r="J32" s="298">
        <f>Ägendom!AJ22</f>
        <v>391.11111111111109</v>
      </c>
      <c r="K32" s="151" t="s">
        <v>330</v>
      </c>
      <c r="L32" s="329"/>
      <c r="M32" s="321"/>
      <c r="AA32" s="858"/>
      <c r="AB32" s="858" t="str">
        <f t="shared" si="2"/>
        <v>Anställd arbetskraft</v>
      </c>
      <c r="AC32" s="859">
        <f t="shared" si="3"/>
        <v>1015</v>
      </c>
      <c r="AD32" s="858"/>
    </row>
    <row r="33" spans="1:30" s="236" customFormat="1" ht="21" x14ac:dyDescent="0.4">
      <c r="A33" s="579"/>
      <c r="B33" s="350"/>
      <c r="C33" s="838" t="s">
        <v>265</v>
      </c>
      <c r="D33" s="833"/>
      <c r="E33" s="324"/>
      <c r="F33" s="338">
        <f>IF('Gårdens info'!$D$11&gt;0,J33/'Gårdens info'!$D$11,0)</f>
        <v>244.44444444444443</v>
      </c>
      <c r="G33" s="151" t="s">
        <v>14</v>
      </c>
      <c r="H33" s="613">
        <f>IF('Gårdens info'!$G$11&gt;0,F33/'Gårdens info'!$G$11,0)</f>
        <v>4.4444444444444444E-3</v>
      </c>
      <c r="I33" s="151" t="s">
        <v>6</v>
      </c>
      <c r="J33" s="298">
        <f>Ägendom!BF22</f>
        <v>244.44444444444443</v>
      </c>
      <c r="K33" s="151" t="s">
        <v>330</v>
      </c>
      <c r="L33" s="329"/>
      <c r="M33" s="321"/>
      <c r="N33" s="91"/>
      <c r="O33" s="91"/>
      <c r="P33" s="91"/>
      <c r="S33" s="91"/>
      <c r="T33" s="91"/>
      <c r="U33" s="91"/>
      <c r="AA33" s="879"/>
      <c r="AB33" s="860" t="s">
        <v>572</v>
      </c>
      <c r="AC33" s="860">
        <f>F26</f>
        <v>414.81481481481484</v>
      </c>
      <c r="AD33" s="879"/>
    </row>
    <row r="34" spans="1:30" ht="17.399999999999999" customHeight="1" x14ac:dyDescent="0.3">
      <c r="B34" s="350"/>
      <c r="C34" s="941" t="s">
        <v>266</v>
      </c>
      <c r="D34" s="941"/>
      <c r="E34" s="324"/>
      <c r="F34" s="338">
        <f>IF('Gårdens info'!$D$11&gt;0,J34/'Gårdens info'!$D$11,0)</f>
        <v>97.777777777777771</v>
      </c>
      <c r="G34" s="151" t="s">
        <v>14</v>
      </c>
      <c r="H34" s="613">
        <f>IF('Gårdens info'!$G$11&gt;0,F34/'Gårdens info'!$G$11,0)</f>
        <v>1.7777777777777776E-3</v>
      </c>
      <c r="I34" s="151" t="s">
        <v>6</v>
      </c>
      <c r="J34" s="298">
        <f>Ägendom!CB22</f>
        <v>97.777777777777771</v>
      </c>
      <c r="K34" s="151" t="s">
        <v>330</v>
      </c>
      <c r="L34" s="329"/>
      <c r="M34" s="321"/>
      <c r="N34" s="91"/>
      <c r="O34" s="91"/>
      <c r="P34" s="91"/>
      <c r="S34" s="91"/>
      <c r="T34" s="91"/>
      <c r="U34" s="91"/>
      <c r="AA34" s="868"/>
      <c r="AB34" s="858" t="s">
        <v>728</v>
      </c>
      <c r="AC34" s="860">
        <f>F27</f>
        <v>44.444444444444443</v>
      </c>
      <c r="AD34" s="868"/>
    </row>
    <row r="35" spans="1:30" ht="21" x14ac:dyDescent="0.4">
      <c r="B35" s="350"/>
      <c r="C35" s="838" t="s">
        <v>267</v>
      </c>
      <c r="D35" s="833"/>
      <c r="E35" s="324"/>
      <c r="F35" s="338">
        <f>IF('Gårdens info'!$D$11&gt;0,J35/'Gårdens info'!$D$11,0)</f>
        <v>19.555555555555554</v>
      </c>
      <c r="G35" s="151" t="s">
        <v>14</v>
      </c>
      <c r="H35" s="613">
        <f>IF('Gårdens info'!$G$11&gt;0,F35/'Gårdens info'!$G$11,0)</f>
        <v>3.5555555555555552E-4</v>
      </c>
      <c r="I35" s="151" t="s">
        <v>6</v>
      </c>
      <c r="J35" s="298">
        <f>Ägendom!CX22</f>
        <v>19.555555555555554</v>
      </c>
      <c r="K35" s="151" t="s">
        <v>330</v>
      </c>
      <c r="L35" s="329"/>
      <c r="M35" s="321"/>
      <c r="N35" s="236"/>
      <c r="O35" s="236"/>
      <c r="P35" s="236"/>
      <c r="S35" s="236"/>
      <c r="T35" s="236"/>
      <c r="U35" s="236"/>
      <c r="AA35" s="868"/>
      <c r="AB35" s="858" t="s">
        <v>576</v>
      </c>
      <c r="AC35" s="861">
        <f>F36</f>
        <v>752.8888888888888</v>
      </c>
      <c r="AD35" s="868"/>
    </row>
    <row r="36" spans="1:30" ht="20.399999999999999" x14ac:dyDescent="0.35">
      <c r="B36" s="352"/>
      <c r="C36" s="340" t="s">
        <v>196</v>
      </c>
      <c r="D36" s="341"/>
      <c r="E36" s="324"/>
      <c r="F36" s="342">
        <f>SUM(F32:F35)</f>
        <v>752.8888888888888</v>
      </c>
      <c r="G36" s="151" t="s">
        <v>14</v>
      </c>
      <c r="H36" s="620">
        <f t="shared" ref="H36:J36" si="4">SUM(H32:H35)</f>
        <v>1.3688888888888888E-2</v>
      </c>
      <c r="I36" s="151" t="s">
        <v>6</v>
      </c>
      <c r="J36" s="342">
        <f t="shared" si="4"/>
        <v>752.8888888888888</v>
      </c>
      <c r="K36" s="151" t="s">
        <v>330</v>
      </c>
      <c r="L36" s="343"/>
      <c r="M36" s="321"/>
      <c r="AA36" s="868"/>
      <c r="AB36" s="858" t="s">
        <v>577</v>
      </c>
      <c r="AC36" s="862">
        <f>F43</f>
        <v>3449.2679012345675</v>
      </c>
      <c r="AD36" s="868"/>
    </row>
    <row r="37" spans="1:30" s="91" customFormat="1" ht="21" x14ac:dyDescent="0.4">
      <c r="A37" s="578"/>
      <c r="B37" s="350"/>
      <c r="C37" s="838"/>
      <c r="D37" s="833"/>
      <c r="E37" s="324"/>
      <c r="F37" s="338"/>
      <c r="G37" s="151"/>
      <c r="H37" s="339"/>
      <c r="I37" s="151"/>
      <c r="J37" s="298"/>
      <c r="K37" s="151"/>
      <c r="L37" s="329"/>
      <c r="M37" s="321"/>
      <c r="N37"/>
      <c r="O37"/>
      <c r="P37"/>
      <c r="S37"/>
      <c r="T37"/>
      <c r="U37"/>
      <c r="AA37" s="858"/>
      <c r="AB37" s="858" t="s">
        <v>578</v>
      </c>
      <c r="AC37" s="862">
        <f>F50</f>
        <v>90.454047619047614</v>
      </c>
      <c r="AD37" s="858"/>
    </row>
    <row r="38" spans="1:30" s="91" customFormat="1" ht="17.399999999999999" customHeight="1" x14ac:dyDescent="0.3">
      <c r="A38" s="578"/>
      <c r="B38" s="947" t="s">
        <v>150</v>
      </c>
      <c r="C38" s="948"/>
      <c r="D38" s="948"/>
      <c r="E38" s="324"/>
      <c r="F38" s="338"/>
      <c r="G38" s="151"/>
      <c r="H38" s="339"/>
      <c r="I38" s="151"/>
      <c r="J38" s="298"/>
      <c r="K38" s="151"/>
      <c r="L38" s="329"/>
      <c r="M38" s="321"/>
      <c r="N38"/>
      <c r="O38"/>
      <c r="P38"/>
      <c r="S38"/>
      <c r="T38"/>
      <c r="U38"/>
      <c r="AA38" s="858"/>
      <c r="AB38" s="858" t="s">
        <v>162</v>
      </c>
      <c r="AC38" s="862">
        <f>F56</f>
        <v>22.222222222222221</v>
      </c>
      <c r="AD38" s="858"/>
    </row>
    <row r="39" spans="1:30" s="91" customFormat="1" ht="21" x14ac:dyDescent="0.4">
      <c r="A39" s="578"/>
      <c r="B39" s="350"/>
      <c r="C39" s="838" t="s">
        <v>264</v>
      </c>
      <c r="D39" s="833"/>
      <c r="E39" s="324"/>
      <c r="F39" s="338">
        <f>IF('Gårdens info'!$D$11&gt;0,J39/'Gårdens info'!$D$11,0)</f>
        <v>1817.5308641975307</v>
      </c>
      <c r="G39" s="151" t="s">
        <v>14</v>
      </c>
      <c r="H39" s="613">
        <f>IF('Gårdens info'!$G$11&gt;0,F39/'Gårdens info'!$G$11,0)</f>
        <v>3.3046015712682376E-2</v>
      </c>
      <c r="I39" s="151" t="s">
        <v>6</v>
      </c>
      <c r="J39" s="298">
        <f>Ägendom!AJ51</f>
        <v>1817.5308641975307</v>
      </c>
      <c r="K39" s="151" t="s">
        <v>330</v>
      </c>
      <c r="L39" s="329"/>
      <c r="M39" s="321"/>
      <c r="AA39" s="858"/>
      <c r="AB39" s="858" t="s">
        <v>727</v>
      </c>
      <c r="AC39" s="860">
        <f>F62</f>
        <v>2088</v>
      </c>
      <c r="AD39" s="858"/>
    </row>
    <row r="40" spans="1:30" s="8" customFormat="1" ht="21" x14ac:dyDescent="0.4">
      <c r="A40" s="576"/>
      <c r="B40" s="350"/>
      <c r="C40" s="838" t="s">
        <v>265</v>
      </c>
      <c r="D40" s="833"/>
      <c r="E40" s="324"/>
      <c r="F40" s="338">
        <f>IF('Gårdens info'!$D$11&gt;0,J40/'Gårdens info'!$D$11,0)</f>
        <v>681.57407407407402</v>
      </c>
      <c r="G40" s="151" t="s">
        <v>14</v>
      </c>
      <c r="H40" s="613">
        <f>IF('Gårdens info'!$G$11&gt;0,F40/'Gårdens info'!$G$11,0)</f>
        <v>1.2392255892255892E-2</v>
      </c>
      <c r="I40" s="151" t="s">
        <v>6</v>
      </c>
      <c r="J40" s="298">
        <f>Ägendom!BF51</f>
        <v>681.57407407407402</v>
      </c>
      <c r="K40" s="151" t="s">
        <v>330</v>
      </c>
      <c r="L40" s="329"/>
      <c r="M40" s="321"/>
      <c r="N40" s="91"/>
      <c r="O40" s="91"/>
      <c r="P40" s="91"/>
      <c r="Q40" s="91"/>
      <c r="R40" s="91"/>
      <c r="S40" s="91"/>
      <c r="T40" s="91"/>
      <c r="U40" s="91"/>
      <c r="AA40" s="880"/>
      <c r="AB40" s="880"/>
      <c r="AC40" s="880"/>
      <c r="AD40" s="880"/>
    </row>
    <row r="41" spans="1:30" s="8" customFormat="1" ht="17.399999999999999" customHeight="1" x14ac:dyDescent="0.3">
      <c r="A41" s="576"/>
      <c r="B41" s="350"/>
      <c r="C41" s="941" t="s">
        <v>266</v>
      </c>
      <c r="D41" s="941"/>
      <c r="E41" s="324"/>
      <c r="F41" s="338">
        <f>IF('Gårdens info'!$D$11&gt;0,J41/'Gårdens info'!$D$11,0)</f>
        <v>890.77777777777794</v>
      </c>
      <c r="G41" s="151" t="s">
        <v>14</v>
      </c>
      <c r="H41" s="613">
        <f>IF('Gårdens info'!$G$11&gt;0,F41/'Gårdens info'!$G$11,0)</f>
        <v>1.61959595959596E-2</v>
      </c>
      <c r="I41" s="151" t="s">
        <v>6</v>
      </c>
      <c r="J41" s="298">
        <f>Ägendom!CB51</f>
        <v>890.77777777777794</v>
      </c>
      <c r="K41" s="151" t="s">
        <v>330</v>
      </c>
      <c r="L41" s="329"/>
      <c r="M41" s="321"/>
      <c r="N41" s="91"/>
      <c r="O41" s="91"/>
      <c r="P41" s="91"/>
      <c r="Q41" s="91"/>
      <c r="R41" s="91"/>
      <c r="S41" s="91"/>
      <c r="T41" s="91"/>
      <c r="U41" s="91"/>
    </row>
    <row r="42" spans="1:30" s="8" customFormat="1" ht="21" x14ac:dyDescent="0.4">
      <c r="A42" s="576"/>
      <c r="B42" s="350"/>
      <c r="C42" s="838" t="s">
        <v>267</v>
      </c>
      <c r="D42" s="833"/>
      <c r="E42" s="324"/>
      <c r="F42" s="338">
        <f>IF('Gårdens info'!$D$11&gt;0,J42/'Gårdens info'!$D$11,0)</f>
        <v>59.385185185185186</v>
      </c>
      <c r="G42" s="151" t="s">
        <v>14</v>
      </c>
      <c r="H42" s="613">
        <f>IF('Gårdens info'!$G$11&gt;0,F42/'Gårdens info'!$G$11,0)</f>
        <v>1.0797306397306397E-3</v>
      </c>
      <c r="I42" s="151" t="s">
        <v>6</v>
      </c>
      <c r="J42" s="298">
        <f>Ägendom!CX51</f>
        <v>59.385185185185186</v>
      </c>
      <c r="K42" s="151" t="s">
        <v>330</v>
      </c>
      <c r="L42" s="329"/>
      <c r="M42" s="321"/>
    </row>
    <row r="43" spans="1:30" s="8" customFormat="1" ht="20.399999999999999" x14ac:dyDescent="0.35">
      <c r="A43" s="576"/>
      <c r="B43" s="352"/>
      <c r="C43" s="340" t="s">
        <v>196</v>
      </c>
      <c r="D43" s="341"/>
      <c r="E43" s="324"/>
      <c r="F43" s="342">
        <f>SUM(F39:F42)</f>
        <v>3449.2679012345675</v>
      </c>
      <c r="G43" s="151" t="s">
        <v>14</v>
      </c>
      <c r="H43" s="620">
        <f t="shared" ref="H43:J43" si="5">SUM(H39:H42)</f>
        <v>6.271396184062851E-2</v>
      </c>
      <c r="I43" s="151" t="s">
        <v>6</v>
      </c>
      <c r="J43" s="342">
        <f t="shared" si="5"/>
        <v>3449.2679012345675</v>
      </c>
      <c r="K43" s="151" t="s">
        <v>330</v>
      </c>
      <c r="L43" s="343"/>
      <c r="M43" s="321"/>
    </row>
    <row r="44" spans="1:30" s="8" customFormat="1" ht="21" x14ac:dyDescent="0.4">
      <c r="A44" s="576"/>
      <c r="B44" s="350"/>
      <c r="C44" s="838"/>
      <c r="D44" s="833"/>
      <c r="E44" s="324"/>
      <c r="F44" s="338"/>
      <c r="G44" s="151"/>
      <c r="H44" s="339"/>
      <c r="I44" s="151"/>
      <c r="J44" s="298"/>
      <c r="K44" s="151"/>
      <c r="L44" s="329"/>
      <c r="M44" s="321"/>
    </row>
    <row r="45" spans="1:30" s="8" customFormat="1" ht="43.05" customHeight="1" x14ac:dyDescent="0.3">
      <c r="A45" s="576"/>
      <c r="B45" s="947" t="s">
        <v>151</v>
      </c>
      <c r="C45" s="948"/>
      <c r="D45" s="948"/>
      <c r="E45" s="324"/>
      <c r="F45" s="338"/>
      <c r="G45" s="151"/>
      <c r="H45" s="339"/>
      <c r="I45" s="151"/>
      <c r="J45" s="298"/>
      <c r="K45" s="151"/>
      <c r="L45" s="329"/>
      <c r="M45" s="321"/>
    </row>
    <row r="46" spans="1:30" ht="21" x14ac:dyDescent="0.4">
      <c r="B46" s="350"/>
      <c r="C46" s="838" t="s">
        <v>264</v>
      </c>
      <c r="D46" s="833"/>
      <c r="E46" s="324"/>
      <c r="F46" s="338">
        <f>IF('Gårdens info'!$D$11&gt;0,J46/'Gårdens info'!$D$11,0)</f>
        <v>48.452380952380949</v>
      </c>
      <c r="G46" s="151" t="s">
        <v>14</v>
      </c>
      <c r="H46" s="613">
        <f>IF('Gårdens info'!$G$11&gt;0,F46/'Gårdens info'!$G$11,0)</f>
        <v>8.8095238095238092E-4</v>
      </c>
      <c r="I46" s="151" t="s">
        <v>6</v>
      </c>
      <c r="J46" s="298">
        <f>Ägendom!AJ76</f>
        <v>48.452380952380949</v>
      </c>
      <c r="K46" s="151" t="s">
        <v>330</v>
      </c>
      <c r="L46" s="329"/>
      <c r="M46" s="321"/>
      <c r="N46" s="8"/>
      <c r="O46" s="8"/>
      <c r="P46" s="8"/>
      <c r="Q46" s="8"/>
      <c r="R46" s="8"/>
      <c r="S46" s="8"/>
      <c r="T46" s="8"/>
      <c r="U46" s="8"/>
    </row>
    <row r="47" spans="1:30" s="8" customFormat="1" ht="21" x14ac:dyDescent="0.4">
      <c r="A47" s="576"/>
      <c r="B47" s="350"/>
      <c r="C47" s="838" t="s">
        <v>265</v>
      </c>
      <c r="D47" s="833"/>
      <c r="E47" s="324"/>
      <c r="F47" s="338">
        <f>IF('Gårdens info'!$D$11&gt;0,J47/'Gårdens info'!$D$11,0)</f>
        <v>4.9702380952380949</v>
      </c>
      <c r="G47" s="151" t="s">
        <v>14</v>
      </c>
      <c r="H47" s="613">
        <f>IF('Gårdens info'!$G$11&gt;0,F47/'Gårdens info'!$G$11,0)</f>
        <v>9.036796536796536E-5</v>
      </c>
      <c r="I47" s="151" t="s">
        <v>6</v>
      </c>
      <c r="J47" s="298">
        <f>Ägendom!BF76</f>
        <v>4.9702380952380949</v>
      </c>
      <c r="K47" s="151" t="s">
        <v>330</v>
      </c>
      <c r="L47" s="329"/>
      <c r="M47" s="321"/>
    </row>
    <row r="48" spans="1:30" s="8" customFormat="1" ht="17.399999999999999" customHeight="1" x14ac:dyDescent="0.3">
      <c r="A48" s="576"/>
      <c r="B48" s="350"/>
      <c r="C48" s="941" t="s">
        <v>266</v>
      </c>
      <c r="D48" s="941"/>
      <c r="E48" s="324"/>
      <c r="F48" s="338">
        <f>IF('Gårdens info'!$D$11&gt;0,J48/'Gårdens info'!$D$11,0)</f>
        <v>35.607142857142847</v>
      </c>
      <c r="G48" s="151" t="s">
        <v>14</v>
      </c>
      <c r="H48" s="613">
        <f>IF('Gårdens info'!$G$11&gt;0,F48/'Gårdens info'!$G$11,0)</f>
        <v>6.4740259740259716E-4</v>
      </c>
      <c r="I48" s="151" t="s">
        <v>6</v>
      </c>
      <c r="J48" s="298">
        <f>Ägendom!CB76</f>
        <v>35.607142857142847</v>
      </c>
      <c r="K48" s="151" t="s">
        <v>330</v>
      </c>
      <c r="L48" s="329"/>
      <c r="M48" s="321"/>
      <c r="N48"/>
      <c r="O48"/>
      <c r="P48"/>
      <c r="Q48"/>
      <c r="R48"/>
      <c r="S48"/>
      <c r="T48"/>
      <c r="U48"/>
    </row>
    <row r="49" spans="1:13" s="8" customFormat="1" ht="21" x14ac:dyDescent="0.4">
      <c r="A49" s="576"/>
      <c r="B49" s="350"/>
      <c r="C49" s="838" t="s">
        <v>267</v>
      </c>
      <c r="D49" s="833"/>
      <c r="E49" s="324"/>
      <c r="F49" s="338">
        <f>IF('Gårdens info'!$D$11&gt;0,J49/'Gårdens info'!$D$11,0)</f>
        <v>1.4242857142857142</v>
      </c>
      <c r="G49" s="151" t="s">
        <v>14</v>
      </c>
      <c r="H49" s="613">
        <f>IF('Gårdens info'!$G$11&gt;0,F49/'Gårdens info'!$G$11,0)</f>
        <v>2.5896103896103893E-5</v>
      </c>
      <c r="I49" s="151" t="s">
        <v>6</v>
      </c>
      <c r="J49" s="298">
        <f>Ägendom!CX76</f>
        <v>1.4242857142857142</v>
      </c>
      <c r="K49" s="151" t="s">
        <v>330</v>
      </c>
      <c r="L49" s="329"/>
      <c r="M49" s="321"/>
    </row>
    <row r="50" spans="1:13" s="8" customFormat="1" ht="20.399999999999999" x14ac:dyDescent="0.35">
      <c r="A50" s="576"/>
      <c r="B50" s="352"/>
      <c r="C50" s="340" t="s">
        <v>196</v>
      </c>
      <c r="D50" s="341"/>
      <c r="E50" s="324"/>
      <c r="F50" s="342">
        <f>SUM(F46:F49)</f>
        <v>90.454047619047614</v>
      </c>
      <c r="G50" s="151" t="s">
        <v>14</v>
      </c>
      <c r="H50" s="620">
        <f t="shared" ref="H50:J50" si="6">SUM(H46:H49)</f>
        <v>1.6446190476190473E-3</v>
      </c>
      <c r="I50" s="151" t="s">
        <v>6</v>
      </c>
      <c r="J50" s="342">
        <f t="shared" si="6"/>
        <v>90.454047619047614</v>
      </c>
      <c r="K50" s="151" t="s">
        <v>330</v>
      </c>
      <c r="L50" s="343"/>
      <c r="M50" s="321"/>
    </row>
    <row r="51" spans="1:13" s="8" customFormat="1" ht="21" x14ac:dyDescent="0.4">
      <c r="A51" s="576"/>
      <c r="B51" s="350"/>
      <c r="C51" s="838"/>
      <c r="D51" s="833"/>
      <c r="E51" s="324"/>
      <c r="F51" s="338"/>
      <c r="G51" s="151"/>
      <c r="H51" s="339"/>
      <c r="I51" s="151"/>
      <c r="J51" s="298"/>
      <c r="K51" s="151"/>
      <c r="L51" s="329"/>
      <c r="M51" s="321"/>
    </row>
    <row r="52" spans="1:13" s="8" customFormat="1" ht="21" customHeight="1" x14ac:dyDescent="0.4">
      <c r="A52" s="576"/>
      <c r="B52" s="951" t="s">
        <v>160</v>
      </c>
      <c r="C52" s="952"/>
      <c r="D52" s="833"/>
      <c r="E52" s="324"/>
      <c r="F52" s="338"/>
      <c r="G52" s="151"/>
      <c r="H52" s="339"/>
      <c r="I52" s="151"/>
      <c r="J52" s="298"/>
      <c r="K52" s="151"/>
      <c r="L52" s="329"/>
      <c r="M52" s="321"/>
    </row>
    <row r="53" spans="1:13" s="8" customFormat="1" ht="21" x14ac:dyDescent="0.4">
      <c r="A53" s="576"/>
      <c r="B53" s="350"/>
      <c r="C53" s="838" t="s">
        <v>264</v>
      </c>
      <c r="D53" s="833"/>
      <c r="E53" s="324"/>
      <c r="F53" s="338">
        <f>IF('Gårdens info'!$D$11&gt;0,J53/'Gårdens info'!$D$11,0)</f>
        <v>0</v>
      </c>
      <c r="G53" s="151" t="s">
        <v>14</v>
      </c>
      <c r="H53" s="613">
        <f>IF('Gårdens info'!$G$11&gt;0,F53/'Gårdens info'!$G$11,0)</f>
        <v>0</v>
      </c>
      <c r="I53" s="151" t="s">
        <v>6</v>
      </c>
      <c r="J53" s="298">
        <f>Ägendom!AJ79</f>
        <v>0</v>
      </c>
      <c r="K53" s="151" t="s">
        <v>330</v>
      </c>
      <c r="L53" s="329"/>
      <c r="M53" s="321"/>
    </row>
    <row r="54" spans="1:13" s="8" customFormat="1" ht="19.95" customHeight="1" x14ac:dyDescent="0.4">
      <c r="A54" s="576"/>
      <c r="B54" s="350"/>
      <c r="C54" s="838" t="s">
        <v>265</v>
      </c>
      <c r="D54" s="833"/>
      <c r="E54" s="324"/>
      <c r="F54" s="338">
        <f>IF('Gårdens info'!$D$11&gt;0,J54/'Gårdens info'!$D$11,0)</f>
        <v>0</v>
      </c>
      <c r="G54" s="151" t="s">
        <v>14</v>
      </c>
      <c r="H54" s="613">
        <f>IF('Gårdens info'!$G$11&gt;0,F54/'Gårdens info'!$G$11,0)</f>
        <v>0</v>
      </c>
      <c r="I54" s="151" t="s">
        <v>6</v>
      </c>
      <c r="J54" s="298">
        <f>Ägendom!BF79</f>
        <v>0</v>
      </c>
      <c r="K54" s="151" t="s">
        <v>330</v>
      </c>
      <c r="L54" s="329"/>
      <c r="M54" s="321"/>
    </row>
    <row r="55" spans="1:13" s="8" customFormat="1" ht="17.399999999999999" customHeight="1" x14ac:dyDescent="0.3">
      <c r="A55" s="576"/>
      <c r="B55" s="350"/>
      <c r="C55" s="941" t="s">
        <v>266</v>
      </c>
      <c r="D55" s="941"/>
      <c r="E55" s="324"/>
      <c r="F55" s="338">
        <f>IF('Gårdens info'!$D$11&gt;0,J55/'Gårdens info'!$D$11,0)</f>
        <v>22.222222222222221</v>
      </c>
      <c r="G55" s="151" t="s">
        <v>14</v>
      </c>
      <c r="H55" s="613">
        <f>IF('Gårdens info'!$G$11&gt;0,F55/'Gårdens info'!$G$11,0)</f>
        <v>4.0404040404040404E-4</v>
      </c>
      <c r="I55" s="151" t="s">
        <v>6</v>
      </c>
      <c r="J55" s="298">
        <f>Ägendom!CB79</f>
        <v>22.222222222222221</v>
      </c>
      <c r="K55" s="151" t="s">
        <v>330</v>
      </c>
      <c r="L55" s="329"/>
      <c r="M55" s="321"/>
    </row>
    <row r="56" spans="1:13" s="8" customFormat="1" ht="15.6" x14ac:dyDescent="0.3">
      <c r="A56" s="576"/>
      <c r="B56" s="349"/>
      <c r="C56" s="323" t="s">
        <v>196</v>
      </c>
      <c r="D56" s="323"/>
      <c r="E56" s="323"/>
      <c r="F56" s="342">
        <f>SUM(F53:F55)</f>
        <v>22.222222222222221</v>
      </c>
      <c r="G56" s="151" t="s">
        <v>14</v>
      </c>
      <c r="H56" s="620">
        <f t="shared" ref="H56:J56" si="7">SUM(H53:H55)</f>
        <v>4.0404040404040404E-4</v>
      </c>
      <c r="I56" s="151" t="s">
        <v>6</v>
      </c>
      <c r="J56" s="342">
        <f t="shared" si="7"/>
        <v>22.222222222222221</v>
      </c>
      <c r="K56" s="151" t="s">
        <v>330</v>
      </c>
      <c r="L56" s="347"/>
      <c r="M56" s="353"/>
    </row>
    <row r="57" spans="1:13" s="8" customFormat="1" ht="21" customHeight="1" x14ac:dyDescent="0.4">
      <c r="A57" s="576"/>
      <c r="B57" s="932" t="s">
        <v>229</v>
      </c>
      <c r="C57" s="933"/>
      <c r="D57" s="933"/>
      <c r="E57" s="324"/>
      <c r="F57" s="328">
        <f>F36+F43+F50+F56</f>
        <v>4314.833059964727</v>
      </c>
      <c r="G57" s="329" t="s">
        <v>14</v>
      </c>
      <c r="H57" s="618">
        <f>H36+H43+H50+H56</f>
        <v>7.8451510181176853E-2</v>
      </c>
      <c r="I57" s="329" t="s">
        <v>6</v>
      </c>
      <c r="J57" s="331">
        <f>J36+J43+J50+J56</f>
        <v>4314.833059964727</v>
      </c>
      <c r="K57" s="329" t="s">
        <v>330</v>
      </c>
      <c r="L57" s="329"/>
      <c r="M57" s="321"/>
    </row>
    <row r="58" spans="1:13" s="8" customFormat="1" ht="15.6" x14ac:dyDescent="0.3">
      <c r="A58" s="576"/>
      <c r="B58" s="349"/>
      <c r="C58" s="324"/>
      <c r="D58" s="324"/>
      <c r="E58" s="324"/>
      <c r="F58" s="325"/>
      <c r="G58" s="304"/>
      <c r="H58" s="326"/>
      <c r="I58" s="304"/>
      <c r="J58" s="320"/>
      <c r="K58" s="304"/>
      <c r="L58" s="327"/>
      <c r="M58" s="321"/>
    </row>
    <row r="59" spans="1:13" s="8" customFormat="1" ht="21" x14ac:dyDescent="0.4">
      <c r="A59" s="576"/>
      <c r="B59" s="319" t="s">
        <v>230</v>
      </c>
      <c r="C59" s="324"/>
      <c r="D59" s="324"/>
      <c r="E59" s="324"/>
      <c r="F59" s="325"/>
      <c r="G59" s="304"/>
      <c r="H59" s="326"/>
      <c r="I59" s="304"/>
      <c r="J59" s="320"/>
      <c r="K59" s="304"/>
      <c r="L59" s="327"/>
      <c r="M59" s="321"/>
    </row>
    <row r="60" spans="1:13" s="8" customFormat="1" ht="15" x14ac:dyDescent="0.25">
      <c r="A60" s="576"/>
      <c r="B60" s="296"/>
      <c r="C60" s="289" t="s">
        <v>230</v>
      </c>
      <c r="D60" s="297"/>
      <c r="E60" s="297"/>
      <c r="F60" s="298">
        <f>IF('Gårdens info'!D11&gt;0,H169,0)</f>
        <v>2088</v>
      </c>
      <c r="G60" s="151" t="s">
        <v>14</v>
      </c>
      <c r="H60" s="614">
        <f>IF('Gårdens info'!G11&gt;0,F60/'Gårdens info'!$G$11,0)</f>
        <v>3.7963636363636366E-2</v>
      </c>
      <c r="I60" s="151" t="s">
        <v>6</v>
      </c>
      <c r="J60" s="298">
        <f>F60*'Gårdens info'!D11</f>
        <v>2088</v>
      </c>
      <c r="K60" s="151" t="s">
        <v>330</v>
      </c>
      <c r="L60" s="297"/>
      <c r="M60" s="300"/>
    </row>
    <row r="61" spans="1:13" s="8" customFormat="1" ht="17.399999999999999" x14ac:dyDescent="0.3">
      <c r="A61" s="576"/>
      <c r="B61" s="841"/>
      <c r="C61" s="306"/>
      <c r="D61" s="310"/>
      <c r="E61" s="310"/>
      <c r="F61" s="311"/>
      <c r="G61" s="153"/>
      <c r="H61" s="310"/>
      <c r="I61" s="310"/>
      <c r="J61" s="310"/>
      <c r="K61" s="310"/>
      <c r="L61" s="310"/>
      <c r="M61" s="295"/>
    </row>
    <row r="62" spans="1:13" s="8" customFormat="1" ht="21" customHeight="1" x14ac:dyDescent="0.4">
      <c r="A62" s="576"/>
      <c r="B62" s="932" t="s">
        <v>231</v>
      </c>
      <c r="C62" s="933"/>
      <c r="D62" s="933"/>
      <c r="E62" s="324"/>
      <c r="F62" s="328">
        <f>F60</f>
        <v>2088</v>
      </c>
      <c r="G62" s="329" t="s">
        <v>14</v>
      </c>
      <c r="H62" s="618">
        <f>H60</f>
        <v>3.7963636363636366E-2</v>
      </c>
      <c r="I62" s="329" t="s">
        <v>6</v>
      </c>
      <c r="J62" s="331">
        <f>J60</f>
        <v>2088</v>
      </c>
      <c r="K62" s="329" t="s">
        <v>330</v>
      </c>
      <c r="L62" s="329"/>
      <c r="M62" s="321"/>
    </row>
    <row r="63" spans="1:13" s="8" customFormat="1" ht="21" x14ac:dyDescent="0.4">
      <c r="A63" s="576"/>
      <c r="B63" s="832"/>
      <c r="C63" s="833"/>
      <c r="D63" s="833"/>
      <c r="E63" s="324"/>
      <c r="F63" s="328"/>
      <c r="G63" s="329"/>
      <c r="H63" s="618"/>
      <c r="I63" s="329"/>
      <c r="J63" s="331"/>
      <c r="K63" s="329"/>
      <c r="L63" s="329"/>
      <c r="M63" s="321"/>
    </row>
    <row r="64" spans="1:13" s="8" customFormat="1" ht="21" customHeight="1" x14ac:dyDescent="0.4">
      <c r="A64" s="576"/>
      <c r="B64" s="932" t="s">
        <v>268</v>
      </c>
      <c r="C64" s="933"/>
      <c r="D64" s="933"/>
      <c r="E64" s="324"/>
      <c r="F64" s="328">
        <f>F28+F57+F62</f>
        <v>17149.61231922399</v>
      </c>
      <c r="G64" s="329" t="s">
        <v>14</v>
      </c>
      <c r="H64" s="705">
        <f>H28+H57+H62</f>
        <v>0.31181113307679975</v>
      </c>
      <c r="I64" s="329" t="s">
        <v>6</v>
      </c>
      <c r="J64" s="328">
        <f>J28+J57+J62</f>
        <v>17149.61231922399</v>
      </c>
      <c r="K64" s="329" t="s">
        <v>330</v>
      </c>
      <c r="L64" s="329"/>
      <c r="M64" s="321"/>
    </row>
    <row r="65" spans="1:21" s="8" customFormat="1" ht="21" x14ac:dyDescent="0.4">
      <c r="A65" s="576"/>
      <c r="B65" s="832"/>
      <c r="C65" s="833"/>
      <c r="D65" s="833"/>
      <c r="E65" s="324"/>
      <c r="F65" s="328"/>
      <c r="G65" s="329"/>
      <c r="H65" s="330"/>
      <c r="I65" s="329"/>
      <c r="J65" s="331"/>
      <c r="K65" s="329"/>
      <c r="L65" s="329"/>
      <c r="M65" s="321"/>
    </row>
    <row r="66" spans="1:21" s="8" customFormat="1" ht="21.6" customHeight="1" thickBot="1" x14ac:dyDescent="0.45">
      <c r="A66" s="576"/>
      <c r="B66" s="936" t="s">
        <v>269</v>
      </c>
      <c r="C66" s="937"/>
      <c r="D66" s="937"/>
      <c r="E66" s="315"/>
      <c r="F66" s="355">
        <f>F11-F28-F57-F62</f>
        <v>24650.387680776013</v>
      </c>
      <c r="G66" s="356" t="s">
        <v>14</v>
      </c>
      <c r="H66" s="621">
        <f>H11-H28-H57-H62</f>
        <v>0.44818886692320026</v>
      </c>
      <c r="I66" s="356" t="s">
        <v>6</v>
      </c>
      <c r="J66" s="355">
        <f>J11-J28-J57-J62</f>
        <v>24650.387680776013</v>
      </c>
      <c r="K66" s="356" t="s">
        <v>330</v>
      </c>
      <c r="L66" s="356"/>
      <c r="M66" s="316"/>
    </row>
    <row r="67" spans="1:21" s="8" customFormat="1" ht="21" x14ac:dyDescent="0.4">
      <c r="A67" s="576"/>
      <c r="B67" s="76"/>
      <c r="C67"/>
      <c r="D67"/>
      <c r="E67"/>
      <c r="F67"/>
      <c r="G67"/>
      <c r="H67"/>
      <c r="I67"/>
      <c r="J67"/>
      <c r="K67"/>
      <c r="L67"/>
      <c r="M67"/>
    </row>
    <row r="68" spans="1:21" s="239" customFormat="1" ht="16.2" thickBot="1" x14ac:dyDescent="0.35">
      <c r="A68" s="580"/>
      <c r="B68"/>
      <c r="C68"/>
      <c r="D68"/>
      <c r="E68"/>
      <c r="F68"/>
      <c r="G68"/>
      <c r="H68"/>
      <c r="I68"/>
      <c r="J68"/>
      <c r="K68"/>
      <c r="L68"/>
      <c r="M68"/>
      <c r="N68" s="8"/>
      <c r="O68" s="8"/>
      <c r="P68" s="8"/>
      <c r="Q68" s="8"/>
      <c r="R68" s="8"/>
      <c r="S68" s="8"/>
      <c r="T68" s="8"/>
      <c r="U68" s="8"/>
    </row>
    <row r="69" spans="1:21" s="8" customFormat="1" ht="21.6" thickBot="1" x14ac:dyDescent="0.45">
      <c r="A69" s="576"/>
      <c r="B69" s="953" t="s">
        <v>270</v>
      </c>
      <c r="C69" s="954"/>
      <c r="D69" s="954"/>
      <c r="E69" s="955"/>
      <c r="F69"/>
      <c r="G69"/>
      <c r="H69"/>
      <c r="I69"/>
      <c r="J69"/>
      <c r="K69"/>
      <c r="L69" s="956" t="s">
        <v>271</v>
      </c>
      <c r="M69" s="956"/>
    </row>
    <row r="70" spans="1:21" s="8" customFormat="1" ht="21" x14ac:dyDescent="0.4">
      <c r="A70" s="576"/>
      <c r="B70" s="401"/>
      <c r="C70" s="401"/>
      <c r="D70" s="401"/>
      <c r="E70" s="401"/>
      <c r="F70" s="534"/>
      <c r="G70" s="534"/>
      <c r="H70" s="534"/>
      <c r="I70" s="534"/>
      <c r="J70" s="534"/>
      <c r="K70" s="534"/>
      <c r="L70" s="564"/>
      <c r="M70" s="564"/>
    </row>
    <row r="71" spans="1:21" ht="15.6" x14ac:dyDescent="0.3">
      <c r="B71" s="113" t="s">
        <v>272</v>
      </c>
      <c r="C71" s="65"/>
      <c r="D71" s="65"/>
      <c r="E71" s="65"/>
      <c r="F71" s="959" t="s">
        <v>159</v>
      </c>
      <c r="G71" s="959"/>
      <c r="H71" s="959" t="s">
        <v>158</v>
      </c>
      <c r="I71" s="959"/>
      <c r="J71" s="959" t="s">
        <v>273</v>
      </c>
      <c r="K71" s="959"/>
      <c r="L71" s="143" t="s">
        <v>274</v>
      </c>
      <c r="M71" s="67"/>
    </row>
    <row r="72" spans="1:21" ht="13.8" thickBot="1" x14ac:dyDescent="0.3">
      <c r="B72" s="69"/>
      <c r="C72" s="65"/>
      <c r="D72" s="65"/>
      <c r="E72" s="65"/>
      <c r="F72" s="65"/>
      <c r="G72" s="65"/>
      <c r="H72" s="65"/>
      <c r="I72" s="65"/>
      <c r="J72" s="67"/>
      <c r="K72" s="67"/>
      <c r="L72" s="67"/>
      <c r="M72" s="67"/>
    </row>
    <row r="73" spans="1:21" ht="13.8" thickBot="1" x14ac:dyDescent="0.3">
      <c r="B73" s="65"/>
      <c r="C73" s="66" t="s">
        <v>328</v>
      </c>
      <c r="D73" s="67"/>
      <c r="E73" s="65"/>
      <c r="F73" s="96">
        <v>30000</v>
      </c>
      <c r="G73" s="65" t="s">
        <v>327</v>
      </c>
      <c r="H73" s="96">
        <v>4.4999999999999998E-2</v>
      </c>
      <c r="I73" s="70" t="s">
        <v>152</v>
      </c>
      <c r="J73" s="235">
        <f>F73*H73</f>
        <v>1350</v>
      </c>
      <c r="K73" s="65" t="s">
        <v>14</v>
      </c>
      <c r="L73" s="65"/>
      <c r="M73" s="67"/>
    </row>
    <row r="74" spans="1:21" s="8" customFormat="1" x14ac:dyDescent="0.25">
      <c r="A74" s="576"/>
      <c r="B74" s="71"/>
      <c r="C74" s="71" t="s">
        <v>329</v>
      </c>
      <c r="D74" s="572"/>
      <c r="E74" s="71"/>
      <c r="F74" s="277"/>
      <c r="G74" s="573"/>
      <c r="H74" s="574"/>
      <c r="I74" s="279"/>
      <c r="J74" s="280"/>
      <c r="K74" s="71"/>
      <c r="L74" s="71"/>
      <c r="M74" s="71"/>
    </row>
    <row r="75" spans="1:21" x14ac:dyDescent="0.25">
      <c r="B75" s="535"/>
      <c r="C75" s="535"/>
      <c r="D75" s="569"/>
      <c r="E75" s="535"/>
      <c r="F75" s="570"/>
      <c r="G75" s="535"/>
      <c r="H75" s="307"/>
      <c r="I75" s="537"/>
      <c r="J75" s="571"/>
      <c r="K75" s="535"/>
      <c r="L75" s="534"/>
      <c r="M75" s="534"/>
    </row>
    <row r="76" spans="1:21" s="8" customFormat="1" ht="15.6" x14ac:dyDescent="0.3">
      <c r="A76" s="576"/>
      <c r="B76" s="120" t="s">
        <v>275</v>
      </c>
      <c r="C76" s="121"/>
      <c r="D76" s="121"/>
      <c r="E76" s="121"/>
      <c r="F76" s="960" t="s">
        <v>159</v>
      </c>
      <c r="G76" s="960"/>
      <c r="H76" s="960" t="s">
        <v>158</v>
      </c>
      <c r="I76" s="960"/>
      <c r="J76" s="960" t="s">
        <v>273</v>
      </c>
      <c r="K76" s="960"/>
      <c r="L76" s="123"/>
      <c r="M76" s="123"/>
    </row>
    <row r="77" spans="1:21" s="77" customFormat="1" ht="18" thickBot="1" x14ac:dyDescent="0.35">
      <c r="A77" s="577"/>
      <c r="B77" s="121"/>
      <c r="C77" s="121"/>
      <c r="D77" s="121"/>
      <c r="E77" s="121"/>
      <c r="F77" s="121"/>
      <c r="G77" s="121"/>
      <c r="H77" s="122"/>
      <c r="I77" s="122"/>
      <c r="J77" s="123"/>
      <c r="K77" s="123"/>
      <c r="L77" s="123"/>
      <c r="M77" s="123"/>
      <c r="N77" s="8"/>
      <c r="O77" s="8"/>
      <c r="P77" s="8"/>
      <c r="Q77" s="8"/>
      <c r="R77" s="8"/>
      <c r="S77" s="8"/>
      <c r="T77" s="8"/>
      <c r="U77" s="8"/>
    </row>
    <row r="78" spans="1:21" s="91" customFormat="1" ht="15.6" thickBot="1" x14ac:dyDescent="0.3">
      <c r="A78" s="578"/>
      <c r="B78" s="121"/>
      <c r="C78" s="121" t="s">
        <v>281</v>
      </c>
      <c r="D78" s="123"/>
      <c r="E78" s="121"/>
      <c r="F78" s="118">
        <v>800</v>
      </c>
      <c r="G78" s="121" t="s">
        <v>21</v>
      </c>
      <c r="H78" s="99">
        <v>0.75</v>
      </c>
      <c r="I78" s="122" t="s">
        <v>6</v>
      </c>
      <c r="J78" s="124">
        <f>F78*H78</f>
        <v>600</v>
      </c>
      <c r="K78" s="121" t="s">
        <v>14</v>
      </c>
      <c r="L78" s="123"/>
      <c r="M78" s="123"/>
      <c r="N78" s="8"/>
      <c r="O78" s="8"/>
      <c r="P78" s="8"/>
      <c r="Q78" s="8"/>
      <c r="R78" s="8"/>
      <c r="S78" s="8"/>
      <c r="T78" s="8"/>
      <c r="U78" s="8"/>
    </row>
    <row r="79" spans="1:21" s="77" customFormat="1" ht="18" thickBot="1" x14ac:dyDescent="0.35">
      <c r="A79" s="577"/>
      <c r="B79" s="121"/>
      <c r="C79" s="121" t="s">
        <v>278</v>
      </c>
      <c r="D79" s="123"/>
      <c r="E79" s="121"/>
      <c r="F79" s="96">
        <v>500</v>
      </c>
      <c r="G79" s="121" t="s">
        <v>21</v>
      </c>
      <c r="H79" s="99">
        <v>0.4</v>
      </c>
      <c r="I79" s="122" t="s">
        <v>6</v>
      </c>
      <c r="J79" s="124">
        <f t="shared" ref="J79:J82" si="8">F79*H79</f>
        <v>200</v>
      </c>
      <c r="K79" s="121" t="s">
        <v>14</v>
      </c>
      <c r="L79" s="123"/>
      <c r="M79" s="123"/>
      <c r="N79" s="91"/>
      <c r="O79" s="91"/>
      <c r="P79" s="91"/>
      <c r="Q79" s="91"/>
      <c r="R79" s="91"/>
      <c r="S79" s="91"/>
      <c r="T79" s="91"/>
      <c r="U79" s="91"/>
    </row>
    <row r="80" spans="1:21" s="91" customFormat="1" ht="15.6" thickBot="1" x14ac:dyDescent="0.3">
      <c r="A80" s="578"/>
      <c r="B80" s="121"/>
      <c r="C80" s="121" t="s">
        <v>279</v>
      </c>
      <c r="D80" s="123"/>
      <c r="E80" s="121"/>
      <c r="F80" s="96">
        <v>2000</v>
      </c>
      <c r="G80" s="121" t="s">
        <v>21</v>
      </c>
      <c r="H80" s="99">
        <v>0.46</v>
      </c>
      <c r="I80" s="122" t="s">
        <v>6</v>
      </c>
      <c r="J80" s="124">
        <f t="shared" si="8"/>
        <v>920</v>
      </c>
      <c r="K80" s="121" t="s">
        <v>14</v>
      </c>
      <c r="L80" s="123"/>
      <c r="M80" s="123"/>
      <c r="N80" s="8"/>
      <c r="O80" s="8"/>
      <c r="P80" s="8"/>
      <c r="Q80" s="8"/>
      <c r="R80" s="8"/>
      <c r="S80" s="8"/>
      <c r="T80" s="8"/>
      <c r="U80" s="8"/>
    </row>
    <row r="81" spans="1:21" s="77" customFormat="1" ht="18" thickBot="1" x14ac:dyDescent="0.35">
      <c r="A81" s="577"/>
      <c r="B81" s="121"/>
      <c r="C81" s="121" t="s">
        <v>280</v>
      </c>
      <c r="D81" s="121"/>
      <c r="E81" s="121"/>
      <c r="F81" s="96"/>
      <c r="G81" s="121" t="s">
        <v>21</v>
      </c>
      <c r="H81" s="99"/>
      <c r="I81" s="122" t="s">
        <v>6</v>
      </c>
      <c r="J81" s="124">
        <f t="shared" si="8"/>
        <v>0</v>
      </c>
      <c r="K81" s="121" t="s">
        <v>14</v>
      </c>
      <c r="L81" s="123"/>
      <c r="M81" s="123"/>
    </row>
    <row r="82" spans="1:21" ht="15.6" thickBot="1" x14ac:dyDescent="0.3">
      <c r="B82" s="121"/>
      <c r="C82" s="121" t="s">
        <v>280</v>
      </c>
      <c r="D82" s="121"/>
      <c r="E82" s="121"/>
      <c r="F82" s="96"/>
      <c r="G82" s="121" t="s">
        <v>21</v>
      </c>
      <c r="H82" s="99"/>
      <c r="I82" s="122" t="s">
        <v>6</v>
      </c>
      <c r="J82" s="124">
        <f t="shared" si="8"/>
        <v>0</v>
      </c>
      <c r="K82" s="121" t="s">
        <v>14</v>
      </c>
      <c r="L82" s="123"/>
      <c r="M82" s="123"/>
      <c r="N82" s="91"/>
      <c r="O82" s="91"/>
      <c r="P82" s="91"/>
      <c r="Q82" s="91"/>
      <c r="R82" s="91"/>
      <c r="S82" s="91"/>
      <c r="T82" s="91"/>
      <c r="U82" s="91"/>
    </row>
    <row r="83" spans="1:21" s="91" customFormat="1" ht="17.399999999999999" x14ac:dyDescent="0.3">
      <c r="A83" s="578"/>
      <c r="B83" s="270"/>
      <c r="C83" s="270" t="s">
        <v>222</v>
      </c>
      <c r="D83" s="270"/>
      <c r="E83" s="270"/>
      <c r="F83" s="270"/>
      <c r="G83" s="270"/>
      <c r="H83" s="270"/>
      <c r="I83" s="271"/>
      <c r="J83" s="272">
        <f>SUM(J78:J82)</f>
        <v>1720</v>
      </c>
      <c r="K83" s="270" t="s">
        <v>14</v>
      </c>
      <c r="L83" s="270"/>
      <c r="M83" s="270"/>
      <c r="N83" s="77"/>
      <c r="O83" s="77"/>
      <c r="P83" s="77"/>
      <c r="Q83" s="77"/>
      <c r="R83" s="77"/>
      <c r="S83" s="77"/>
      <c r="T83" s="77"/>
      <c r="U83" s="77"/>
    </row>
    <row r="84" spans="1:21" s="8" customFormat="1" x14ac:dyDescent="0.25">
      <c r="A84" s="576"/>
      <c r="B84" s="121"/>
      <c r="C84" s="121"/>
      <c r="D84" s="121"/>
      <c r="E84" s="121"/>
      <c r="F84" s="121"/>
      <c r="G84" s="121"/>
      <c r="H84" s="121"/>
      <c r="I84" s="122"/>
      <c r="J84" s="124"/>
      <c r="K84" s="121"/>
      <c r="L84" s="123"/>
      <c r="M84" s="123"/>
      <c r="N84"/>
      <c r="O84"/>
      <c r="P84"/>
      <c r="Q84"/>
      <c r="R84"/>
      <c r="S84"/>
      <c r="T84"/>
      <c r="U84"/>
    </row>
    <row r="85" spans="1:21" s="8" customFormat="1" ht="15" x14ac:dyDescent="0.25">
      <c r="A85" s="576"/>
      <c r="B85"/>
      <c r="C85"/>
      <c r="D85"/>
      <c r="E85"/>
      <c r="F85"/>
      <c r="G85"/>
      <c r="H85"/>
      <c r="I85"/>
      <c r="J85"/>
      <c r="K85"/>
      <c r="L85"/>
      <c r="M85"/>
      <c r="N85" s="91"/>
      <c r="O85" s="91"/>
      <c r="P85" s="91"/>
      <c r="Q85" s="91"/>
      <c r="R85" s="91"/>
      <c r="S85" s="91"/>
      <c r="T85" s="91"/>
      <c r="U85" s="91"/>
    </row>
    <row r="86" spans="1:21" s="8" customFormat="1" ht="15.6" x14ac:dyDescent="0.3">
      <c r="A86" s="576"/>
      <c r="B86" s="109" t="s">
        <v>282</v>
      </c>
      <c r="C86" s="72"/>
      <c r="D86" s="72"/>
      <c r="E86" s="72"/>
      <c r="F86" s="957" t="s">
        <v>159</v>
      </c>
      <c r="G86" s="957"/>
      <c r="H86" s="958" t="s">
        <v>158</v>
      </c>
      <c r="I86" s="958"/>
      <c r="J86" s="957" t="s">
        <v>273</v>
      </c>
      <c r="K86" s="957"/>
      <c r="L86" s="79"/>
      <c r="M86" s="79"/>
    </row>
    <row r="87" spans="1:21" x14ac:dyDescent="0.25">
      <c r="B87" s="72"/>
      <c r="C87" s="72"/>
      <c r="D87" s="72"/>
      <c r="E87" s="72"/>
      <c r="F87" s="74"/>
      <c r="G87" s="74"/>
      <c r="H87" s="73"/>
      <c r="I87" s="73"/>
      <c r="J87" s="73"/>
      <c r="K87" s="79"/>
      <c r="L87" s="79"/>
      <c r="M87" s="79"/>
      <c r="N87" s="8"/>
      <c r="O87" s="8"/>
      <c r="P87" s="8"/>
      <c r="Q87" s="8"/>
      <c r="R87" s="8"/>
      <c r="S87" s="8"/>
      <c r="T87" s="8"/>
      <c r="U87" s="8"/>
    </row>
    <row r="88" spans="1:21" ht="15.6" x14ac:dyDescent="0.3">
      <c r="B88" s="109"/>
      <c r="C88" s="72"/>
      <c r="D88" s="462" t="s">
        <v>364</v>
      </c>
      <c r="E88" s="72"/>
      <c r="F88" s="836"/>
      <c r="G88" s="836"/>
      <c r="H88" s="837"/>
      <c r="I88" s="837"/>
      <c r="J88" s="836"/>
      <c r="K88" s="836"/>
      <c r="L88" s="79"/>
      <c r="M88" s="79"/>
    </row>
    <row r="89" spans="1:21" ht="13.8" thickBot="1" x14ac:dyDescent="0.3">
      <c r="B89" s="214" t="s">
        <v>283</v>
      </c>
      <c r="C89" s="72"/>
      <c r="D89" s="72"/>
      <c r="E89" s="72"/>
      <c r="F89" s="74"/>
      <c r="G89" s="74"/>
      <c r="H89" s="73"/>
      <c r="I89" s="73"/>
      <c r="J89" s="79"/>
      <c r="K89" s="79"/>
      <c r="L89" s="79"/>
      <c r="M89" s="79"/>
    </row>
    <row r="90" spans="1:21" ht="13.8" thickBot="1" x14ac:dyDescent="0.3">
      <c r="B90" s="72"/>
      <c r="C90" s="72" t="s">
        <v>69</v>
      </c>
      <c r="D90" s="79"/>
      <c r="E90" s="72"/>
      <c r="F90" s="119">
        <v>2</v>
      </c>
      <c r="G90" s="74" t="s">
        <v>20</v>
      </c>
      <c r="H90" s="99">
        <v>18.8</v>
      </c>
      <c r="I90" s="73" t="s">
        <v>5</v>
      </c>
      <c r="J90" s="79">
        <f>F90*H90</f>
        <v>37.6</v>
      </c>
      <c r="K90" s="72" t="s">
        <v>14</v>
      </c>
      <c r="L90" s="79"/>
      <c r="M90" s="79"/>
    </row>
    <row r="91" spans="1:21" ht="13.8" thickBot="1" x14ac:dyDescent="0.3">
      <c r="B91" s="72"/>
      <c r="C91" s="72" t="s">
        <v>68</v>
      </c>
      <c r="D91" s="79"/>
      <c r="E91" s="72"/>
      <c r="F91" s="119">
        <v>0.1</v>
      </c>
      <c r="G91" s="74" t="s">
        <v>20</v>
      </c>
      <c r="H91" s="99">
        <v>39.200000000000003</v>
      </c>
      <c r="I91" s="73" t="s">
        <v>6</v>
      </c>
      <c r="J91" s="79">
        <f t="shared" ref="J91:J95" si="9">F91*H91</f>
        <v>3.9200000000000004</v>
      </c>
      <c r="K91" s="72" t="s">
        <v>14</v>
      </c>
      <c r="L91" s="79"/>
      <c r="M91" s="79"/>
    </row>
    <row r="92" spans="1:21" ht="13.8" thickBot="1" x14ac:dyDescent="0.3">
      <c r="B92" s="72"/>
      <c r="C92" s="72" t="s">
        <v>70</v>
      </c>
      <c r="D92" s="79"/>
      <c r="E92" s="72"/>
      <c r="F92" s="119">
        <v>0.3</v>
      </c>
      <c r="G92" s="74" t="s">
        <v>20</v>
      </c>
      <c r="H92" s="99">
        <v>48</v>
      </c>
      <c r="I92" s="73" t="s">
        <v>5</v>
      </c>
      <c r="J92" s="79">
        <f t="shared" si="9"/>
        <v>14.399999999999999</v>
      </c>
      <c r="K92" s="72" t="s">
        <v>14</v>
      </c>
      <c r="L92" s="79"/>
      <c r="M92" s="79"/>
    </row>
    <row r="93" spans="1:21" ht="13.8" thickBot="1" x14ac:dyDescent="0.3">
      <c r="B93" s="72"/>
      <c r="C93" s="72" t="s">
        <v>326</v>
      </c>
      <c r="D93" s="79"/>
      <c r="E93" s="72"/>
      <c r="F93" s="119"/>
      <c r="G93" s="74" t="s">
        <v>20</v>
      </c>
      <c r="H93" s="99"/>
      <c r="I93" s="73" t="s">
        <v>5</v>
      </c>
      <c r="J93" s="79">
        <f t="shared" si="9"/>
        <v>0</v>
      </c>
      <c r="K93" s="72" t="s">
        <v>14</v>
      </c>
      <c r="L93" s="79"/>
      <c r="M93" s="79"/>
    </row>
    <row r="94" spans="1:21" ht="13.8" thickBot="1" x14ac:dyDescent="0.3">
      <c r="B94" s="72"/>
      <c r="C94" s="72" t="s">
        <v>326</v>
      </c>
      <c r="D94" s="72"/>
      <c r="E94" s="72"/>
      <c r="F94" s="119"/>
      <c r="G94" s="74" t="s">
        <v>20</v>
      </c>
      <c r="H94" s="99"/>
      <c r="I94" s="73" t="s">
        <v>5</v>
      </c>
      <c r="J94" s="79">
        <f t="shared" si="9"/>
        <v>0</v>
      </c>
      <c r="K94" s="72" t="s">
        <v>14</v>
      </c>
      <c r="L94" s="79"/>
      <c r="M94" s="79"/>
    </row>
    <row r="95" spans="1:21" ht="13.8" thickBot="1" x14ac:dyDescent="0.3">
      <c r="B95" s="72"/>
      <c r="C95" s="72" t="s">
        <v>326</v>
      </c>
      <c r="D95" s="72"/>
      <c r="E95" s="72"/>
      <c r="F95" s="119"/>
      <c r="G95" s="74" t="s">
        <v>20</v>
      </c>
      <c r="H95" s="99"/>
      <c r="I95" s="73" t="s">
        <v>5</v>
      </c>
      <c r="J95" s="79">
        <f t="shared" si="9"/>
        <v>0</v>
      </c>
      <c r="K95" s="72" t="s">
        <v>14</v>
      </c>
      <c r="L95" s="79"/>
      <c r="M95" s="79"/>
    </row>
    <row r="96" spans="1:21" x14ac:dyDescent="0.25">
      <c r="B96" s="72"/>
      <c r="C96" s="72"/>
      <c r="D96" s="72"/>
      <c r="E96" s="72"/>
      <c r="F96" s="212"/>
      <c r="G96" s="74"/>
      <c r="H96" s="213"/>
      <c r="I96" s="73"/>
      <c r="J96" s="79"/>
      <c r="K96" s="72"/>
      <c r="L96" s="79"/>
      <c r="M96" s="79"/>
    </row>
    <row r="97" spans="1:15" ht="13.8" thickBot="1" x14ac:dyDescent="0.3">
      <c r="B97" s="214" t="s">
        <v>284</v>
      </c>
      <c r="C97" s="72"/>
      <c r="D97" s="72"/>
      <c r="E97" s="72"/>
      <c r="F97" s="212"/>
      <c r="G97" s="74"/>
      <c r="H97" s="213"/>
      <c r="I97" s="73"/>
      <c r="J97" s="79"/>
      <c r="K97" s="72"/>
      <c r="L97" s="79"/>
      <c r="M97" s="79"/>
    </row>
    <row r="98" spans="1:15" ht="13.8" thickBot="1" x14ac:dyDescent="0.3">
      <c r="B98" s="72"/>
      <c r="C98" s="72" t="s">
        <v>326</v>
      </c>
      <c r="D98" s="72"/>
      <c r="E98" s="72"/>
      <c r="F98" s="119"/>
      <c r="G98" s="74" t="s">
        <v>20</v>
      </c>
      <c r="H98" s="119"/>
      <c r="I98" s="73" t="s">
        <v>5</v>
      </c>
      <c r="J98" s="79">
        <f t="shared" ref="J98:J101" si="10">F98*H98</f>
        <v>0</v>
      </c>
      <c r="K98" s="72" t="s">
        <v>14</v>
      </c>
      <c r="L98" s="79"/>
      <c r="M98" s="79"/>
    </row>
    <row r="99" spans="1:15" ht="13.8" thickBot="1" x14ac:dyDescent="0.3">
      <c r="B99" s="72"/>
      <c r="C99" s="72" t="s">
        <v>326</v>
      </c>
      <c r="D99" s="72"/>
      <c r="E99" s="72"/>
      <c r="F99" s="119"/>
      <c r="G99" s="74" t="s">
        <v>20</v>
      </c>
      <c r="H99" s="119"/>
      <c r="I99" s="73" t="s">
        <v>5</v>
      </c>
      <c r="J99" s="79">
        <f t="shared" si="10"/>
        <v>0</v>
      </c>
      <c r="K99" s="72" t="s">
        <v>14</v>
      </c>
      <c r="L99" s="79"/>
      <c r="M99" s="79"/>
    </row>
    <row r="100" spans="1:15" ht="13.8" thickBot="1" x14ac:dyDescent="0.3">
      <c r="B100" s="72"/>
      <c r="C100" s="72" t="s">
        <v>326</v>
      </c>
      <c r="D100" s="72"/>
      <c r="E100" s="72"/>
      <c r="F100" s="119"/>
      <c r="G100" s="74" t="s">
        <v>20</v>
      </c>
      <c r="H100" s="119"/>
      <c r="I100" s="73" t="s">
        <v>5</v>
      </c>
      <c r="J100" s="79">
        <f t="shared" si="10"/>
        <v>0</v>
      </c>
      <c r="K100" s="72" t="s">
        <v>14</v>
      </c>
      <c r="L100" s="79"/>
      <c r="M100" s="79"/>
    </row>
    <row r="101" spans="1:15" ht="13.8" thickBot="1" x14ac:dyDescent="0.3">
      <c r="B101" s="72"/>
      <c r="C101" s="72" t="s">
        <v>326</v>
      </c>
      <c r="D101" s="72"/>
      <c r="E101" s="72"/>
      <c r="F101" s="119"/>
      <c r="G101" s="74" t="s">
        <v>20</v>
      </c>
      <c r="H101" s="119"/>
      <c r="I101" s="73" t="s">
        <v>5</v>
      </c>
      <c r="J101" s="79">
        <f t="shared" si="10"/>
        <v>0</v>
      </c>
      <c r="K101" s="72" t="s">
        <v>14</v>
      </c>
      <c r="L101" s="79"/>
      <c r="M101" s="79"/>
    </row>
    <row r="102" spans="1:15" s="8" customFormat="1" x14ac:dyDescent="0.25">
      <c r="A102" s="576"/>
      <c r="B102" s="241"/>
      <c r="C102" s="241" t="s">
        <v>196</v>
      </c>
      <c r="D102" s="241"/>
      <c r="E102" s="241"/>
      <c r="F102" s="273"/>
      <c r="G102" s="242"/>
      <c r="H102" s="273"/>
      <c r="I102" s="243"/>
      <c r="J102" s="243">
        <f>SUM(J90:J101)</f>
        <v>55.92</v>
      </c>
      <c r="K102" s="241" t="s">
        <v>14</v>
      </c>
      <c r="L102" s="241"/>
      <c r="M102" s="241"/>
    </row>
    <row r="103" spans="1:15" x14ac:dyDescent="0.25">
      <c r="B103" s="72"/>
      <c r="C103" s="72"/>
      <c r="D103" s="72"/>
      <c r="E103" s="72"/>
      <c r="F103" s="74"/>
      <c r="G103" s="74"/>
      <c r="H103" s="73"/>
      <c r="I103" s="73"/>
      <c r="J103" s="79"/>
      <c r="K103" s="72"/>
      <c r="L103" s="79"/>
      <c r="M103" s="79"/>
    </row>
    <row r="104" spans="1:15" x14ac:dyDescent="0.25">
      <c r="A104" s="581"/>
      <c r="N104" s="5"/>
      <c r="O104" s="5"/>
    </row>
    <row r="105" spans="1:15" ht="15.6" x14ac:dyDescent="0.3">
      <c r="A105" s="581"/>
      <c r="B105" s="110" t="s">
        <v>285</v>
      </c>
      <c r="C105" s="82"/>
      <c r="D105" s="82"/>
      <c r="E105" s="82"/>
      <c r="F105" s="964" t="s">
        <v>159</v>
      </c>
      <c r="G105" s="964"/>
      <c r="H105" s="964" t="s">
        <v>158</v>
      </c>
      <c r="I105" s="964"/>
      <c r="J105" s="964" t="s">
        <v>324</v>
      </c>
      <c r="K105" s="964"/>
      <c r="L105" s="84"/>
      <c r="M105" s="84"/>
      <c r="N105" s="5"/>
      <c r="O105" s="5"/>
    </row>
    <row r="106" spans="1:15" ht="13.8" thickBot="1" x14ac:dyDescent="0.3">
      <c r="A106" s="581"/>
      <c r="B106" s="82"/>
      <c r="C106" s="82"/>
      <c r="D106" s="82"/>
      <c r="E106" s="82"/>
      <c r="F106" s="82"/>
      <c r="G106" s="82"/>
      <c r="H106" s="83"/>
      <c r="I106" s="83"/>
      <c r="J106" s="84"/>
      <c r="K106" s="84"/>
      <c r="L106" s="84"/>
      <c r="M106" s="84"/>
      <c r="N106" s="5"/>
      <c r="O106" s="5"/>
    </row>
    <row r="107" spans="1:15" ht="13.8" thickBot="1" x14ac:dyDescent="0.3">
      <c r="A107" s="581"/>
      <c r="B107" s="82"/>
      <c r="C107" s="82" t="s">
        <v>286</v>
      </c>
      <c r="D107" s="84"/>
      <c r="E107" s="82"/>
      <c r="F107" s="463">
        <f>S10*'Gårdens info'!$G$11/1</f>
        <v>0</v>
      </c>
      <c r="G107" s="82" t="s">
        <v>153</v>
      </c>
      <c r="H107" s="99">
        <v>0.01</v>
      </c>
      <c r="I107" s="83" t="s">
        <v>152</v>
      </c>
      <c r="J107" s="85">
        <f>F107*H107</f>
        <v>0</v>
      </c>
      <c r="K107" s="82" t="s">
        <v>14</v>
      </c>
      <c r="L107" s="84"/>
      <c r="M107" s="84"/>
      <c r="N107" s="5"/>
      <c r="O107" s="5"/>
    </row>
    <row r="108" spans="1:15" ht="13.8" thickBot="1" x14ac:dyDescent="0.3">
      <c r="A108" s="581"/>
      <c r="B108" s="82"/>
      <c r="C108" s="82" t="s">
        <v>287</v>
      </c>
      <c r="D108" s="84"/>
      <c r="E108" s="82"/>
      <c r="F108" s="463">
        <f>S11*'Gårdens info'!$G$11/1</f>
        <v>0</v>
      </c>
      <c r="G108" s="82" t="s">
        <v>153</v>
      </c>
      <c r="H108" s="99">
        <v>0.01</v>
      </c>
      <c r="I108" s="83" t="s">
        <v>152</v>
      </c>
      <c r="J108" s="85">
        <f t="shared" ref="J108:J114" si="11">F108*H108</f>
        <v>0</v>
      </c>
      <c r="K108" s="82" t="s">
        <v>14</v>
      </c>
      <c r="L108" s="84"/>
      <c r="M108" s="84"/>
      <c r="N108" s="5"/>
      <c r="O108" s="5"/>
    </row>
    <row r="109" spans="1:15" ht="13.8" thickBot="1" x14ac:dyDescent="0.3">
      <c r="A109" s="581"/>
      <c r="B109" s="82"/>
      <c r="C109" s="82" t="s">
        <v>288</v>
      </c>
      <c r="D109" s="84"/>
      <c r="E109" s="82"/>
      <c r="F109" s="463">
        <f>S12*'Gårdens info'!$G$11/1</f>
        <v>0</v>
      </c>
      <c r="G109" s="82" t="s">
        <v>153</v>
      </c>
      <c r="H109" s="99">
        <v>0.01</v>
      </c>
      <c r="I109" s="83" t="s">
        <v>152</v>
      </c>
      <c r="J109" s="85">
        <f t="shared" si="11"/>
        <v>0</v>
      </c>
      <c r="K109" s="82" t="s">
        <v>14</v>
      </c>
      <c r="L109" s="84"/>
      <c r="M109" s="84"/>
      <c r="N109" s="5"/>
      <c r="O109" s="5"/>
    </row>
    <row r="110" spans="1:15" ht="13.8" thickBot="1" x14ac:dyDescent="0.3">
      <c r="A110" s="581"/>
      <c r="B110" s="82"/>
      <c r="C110" s="82" t="s">
        <v>289</v>
      </c>
      <c r="D110" s="84"/>
      <c r="E110" s="82"/>
      <c r="F110" s="463">
        <f>S13*'Gårdens info'!$G$11/1</f>
        <v>55000</v>
      </c>
      <c r="G110" s="82" t="s">
        <v>153</v>
      </c>
      <c r="H110" s="99">
        <v>0.05</v>
      </c>
      <c r="I110" s="83" t="s">
        <v>152</v>
      </c>
      <c r="J110" s="85">
        <f t="shared" si="11"/>
        <v>2750</v>
      </c>
      <c r="K110" s="82" t="s">
        <v>14</v>
      </c>
      <c r="L110" s="84"/>
      <c r="M110" s="84"/>
      <c r="N110" s="5"/>
      <c r="O110" s="5"/>
    </row>
    <row r="111" spans="1:15" ht="13.8" thickBot="1" x14ac:dyDescent="0.3">
      <c r="A111" s="581"/>
      <c r="B111" s="82"/>
      <c r="C111" s="119" t="s">
        <v>290</v>
      </c>
      <c r="D111" s="99"/>
      <c r="E111" s="82" t="s">
        <v>21</v>
      </c>
      <c r="F111" s="463">
        <f>IF(S14&gt;0,(S14*'Gårdens info'!$G$11/D111),0)</f>
        <v>0</v>
      </c>
      <c r="G111" s="82" t="s">
        <v>153</v>
      </c>
      <c r="H111" s="99"/>
      <c r="I111" s="83" t="s">
        <v>152</v>
      </c>
      <c r="J111" s="85">
        <f t="shared" ref="J111:J112" si="12">F111*H111</f>
        <v>0</v>
      </c>
      <c r="K111" s="82" t="s">
        <v>14</v>
      </c>
      <c r="L111" s="84"/>
      <c r="M111" s="84"/>
      <c r="N111" s="5"/>
      <c r="O111" s="5"/>
    </row>
    <row r="112" spans="1:15" ht="13.8" thickBot="1" x14ac:dyDescent="0.3">
      <c r="A112" s="581"/>
      <c r="B112" s="82"/>
      <c r="C112" s="119" t="s">
        <v>290</v>
      </c>
      <c r="D112" s="99"/>
      <c r="E112" s="82" t="s">
        <v>21</v>
      </c>
      <c r="F112" s="463">
        <f>IF(S15&gt;0,(S15*'Gårdens info'!$G$11/D112),0)</f>
        <v>0</v>
      </c>
      <c r="G112" s="82" t="s">
        <v>153</v>
      </c>
      <c r="H112" s="99"/>
      <c r="I112" s="83" t="s">
        <v>152</v>
      </c>
      <c r="J112" s="85">
        <f t="shared" si="12"/>
        <v>0</v>
      </c>
      <c r="K112" s="82" t="s">
        <v>14</v>
      </c>
      <c r="L112" s="84"/>
      <c r="M112" s="84"/>
      <c r="N112" s="5"/>
      <c r="O112" s="5"/>
    </row>
    <row r="113" spans="1:21" ht="13.8" thickBot="1" x14ac:dyDescent="0.3">
      <c r="A113" s="581"/>
      <c r="B113" s="82"/>
      <c r="C113" s="119" t="s">
        <v>290</v>
      </c>
      <c r="D113" s="99"/>
      <c r="E113" s="82" t="s">
        <v>21</v>
      </c>
      <c r="F113" s="463">
        <f>IF(S16&gt;0,(S16*'Gårdens info'!$G$11/D113),0)</f>
        <v>0</v>
      </c>
      <c r="G113" s="82" t="s">
        <v>153</v>
      </c>
      <c r="H113" s="99"/>
      <c r="I113" s="83" t="s">
        <v>152</v>
      </c>
      <c r="J113" s="85">
        <f t="shared" si="11"/>
        <v>0</v>
      </c>
      <c r="K113" s="82" t="s">
        <v>14</v>
      </c>
      <c r="L113" s="84"/>
      <c r="M113" s="84"/>
      <c r="N113" s="5"/>
      <c r="O113" s="5"/>
    </row>
    <row r="114" spans="1:21" ht="13.8" thickBot="1" x14ac:dyDescent="0.3">
      <c r="A114" s="581"/>
      <c r="B114" s="82"/>
      <c r="C114" s="119" t="s">
        <v>290</v>
      </c>
      <c r="D114" s="99"/>
      <c r="E114" s="82" t="s">
        <v>21</v>
      </c>
      <c r="F114" s="463">
        <f>IF(S17&gt;0,(S17*'Gårdens info'!$G$11/D114),0)</f>
        <v>0</v>
      </c>
      <c r="G114" s="82" t="s">
        <v>153</v>
      </c>
      <c r="H114" s="99"/>
      <c r="I114" s="83" t="s">
        <v>152</v>
      </c>
      <c r="J114" s="85">
        <f t="shared" si="11"/>
        <v>0</v>
      </c>
      <c r="K114" s="82" t="s">
        <v>14</v>
      </c>
      <c r="L114" s="84"/>
      <c r="M114" s="84"/>
      <c r="N114" s="5"/>
      <c r="O114" s="5"/>
    </row>
    <row r="115" spans="1:21" x14ac:dyDescent="0.25">
      <c r="A115" s="581"/>
      <c r="B115" s="245"/>
      <c r="C115" s="245" t="s">
        <v>196</v>
      </c>
      <c r="D115" s="245"/>
      <c r="E115" s="245"/>
      <c r="F115" s="246"/>
      <c r="G115" s="245"/>
      <c r="H115" s="247"/>
      <c r="I115" s="248"/>
      <c r="J115" s="249">
        <f>SUM(J107:J114)</f>
        <v>2750</v>
      </c>
      <c r="K115" s="245" t="s">
        <v>14</v>
      </c>
      <c r="L115" s="245"/>
      <c r="M115" s="245"/>
      <c r="N115" s="5"/>
      <c r="O115" s="5"/>
    </row>
    <row r="116" spans="1:21" x14ac:dyDescent="0.25">
      <c r="A116" s="581"/>
      <c r="B116" s="82"/>
      <c r="C116" s="82"/>
      <c r="D116" s="82"/>
      <c r="E116" s="82"/>
      <c r="F116" s="82"/>
      <c r="G116" s="82"/>
      <c r="H116" s="83"/>
      <c r="I116" s="83"/>
      <c r="J116" s="85"/>
      <c r="K116" s="82"/>
      <c r="L116" s="84"/>
      <c r="M116" s="84"/>
      <c r="N116" s="5"/>
      <c r="O116" s="5"/>
    </row>
    <row r="117" spans="1:21" x14ac:dyDescent="0.25">
      <c r="A117" s="581"/>
      <c r="N117" s="5"/>
      <c r="O117" s="5"/>
    </row>
    <row r="118" spans="1:21" s="8" customFormat="1" ht="15.6" x14ac:dyDescent="0.3">
      <c r="A118" s="582"/>
      <c r="B118" s="111" t="s">
        <v>291</v>
      </c>
      <c r="C118" s="87"/>
      <c r="D118" s="87"/>
      <c r="E118" s="87"/>
      <c r="F118" s="964" t="s">
        <v>159</v>
      </c>
      <c r="G118" s="964"/>
      <c r="H118" s="964" t="s">
        <v>158</v>
      </c>
      <c r="I118" s="964"/>
      <c r="J118" s="964" t="s">
        <v>324</v>
      </c>
      <c r="K118" s="964"/>
      <c r="L118" s="89"/>
      <c r="M118" s="89"/>
      <c r="N118" s="5"/>
      <c r="O118" s="5"/>
      <c r="P118"/>
      <c r="Q118"/>
      <c r="R118"/>
      <c r="S118"/>
      <c r="T118"/>
      <c r="U118"/>
    </row>
    <row r="119" spans="1:21" ht="13.8" thickBot="1" x14ac:dyDescent="0.3">
      <c r="A119" s="581"/>
      <c r="B119" s="87"/>
      <c r="C119" s="87"/>
      <c r="D119" s="87"/>
      <c r="E119" s="87"/>
      <c r="F119" s="87"/>
      <c r="G119" s="87"/>
      <c r="H119" s="88"/>
      <c r="I119" s="88"/>
      <c r="J119" s="89"/>
      <c r="K119" s="89"/>
      <c r="L119" s="89"/>
      <c r="M119" s="89"/>
      <c r="N119" s="5"/>
      <c r="O119" s="5"/>
    </row>
    <row r="120" spans="1:21" ht="13.8" thickBot="1" x14ac:dyDescent="0.3">
      <c r="A120" s="581"/>
      <c r="B120" s="87"/>
      <c r="C120" s="87" t="s">
        <v>247</v>
      </c>
      <c r="D120" s="89"/>
      <c r="E120" s="87"/>
      <c r="F120" s="96">
        <f>'Gårdens info'!G11*'Gårdens info'!D11*0.9</f>
        <v>49500</v>
      </c>
      <c r="G120" s="87" t="s">
        <v>21</v>
      </c>
      <c r="H120" s="99">
        <v>0.02</v>
      </c>
      <c r="I120" s="88" t="s">
        <v>6</v>
      </c>
      <c r="J120" s="90">
        <f t="shared" ref="J120:J122" si="13">F120*H120</f>
        <v>990</v>
      </c>
      <c r="K120" s="87" t="s">
        <v>14</v>
      </c>
      <c r="L120" s="89"/>
      <c r="M120" s="89"/>
      <c r="N120" s="9"/>
      <c r="O120" s="9"/>
      <c r="P120" s="8"/>
      <c r="Q120" s="8"/>
      <c r="R120" s="8"/>
      <c r="S120" s="8"/>
      <c r="T120" s="8"/>
      <c r="U120" s="8"/>
    </row>
    <row r="121" spans="1:21" ht="13.8" thickBot="1" x14ac:dyDescent="0.3">
      <c r="A121" s="581"/>
      <c r="B121" s="87"/>
      <c r="C121" s="87" t="s">
        <v>292</v>
      </c>
      <c r="D121" s="87"/>
      <c r="E121" s="87"/>
      <c r="F121" s="96"/>
      <c r="G121" s="87" t="s">
        <v>21</v>
      </c>
      <c r="H121" s="99"/>
      <c r="I121" s="88" t="s">
        <v>6</v>
      </c>
      <c r="J121" s="90">
        <f t="shared" si="13"/>
        <v>0</v>
      </c>
      <c r="K121" s="87" t="s">
        <v>14</v>
      </c>
      <c r="L121" s="89"/>
      <c r="M121" s="89"/>
      <c r="N121" s="5"/>
      <c r="O121" s="5"/>
    </row>
    <row r="122" spans="1:21" ht="13.8" thickBot="1" x14ac:dyDescent="0.3">
      <c r="A122" s="581"/>
      <c r="B122" s="87"/>
      <c r="C122" s="87" t="s">
        <v>292</v>
      </c>
      <c r="D122" s="87"/>
      <c r="E122" s="87"/>
      <c r="F122" s="96"/>
      <c r="G122" s="87" t="s">
        <v>21</v>
      </c>
      <c r="H122" s="99"/>
      <c r="I122" s="88" t="s">
        <v>6</v>
      </c>
      <c r="J122" s="90">
        <f t="shared" si="13"/>
        <v>0</v>
      </c>
      <c r="K122" s="87" t="s">
        <v>14</v>
      </c>
      <c r="L122" s="89"/>
      <c r="M122" s="89"/>
      <c r="N122" s="5"/>
      <c r="O122" s="5"/>
    </row>
    <row r="123" spans="1:21" x14ac:dyDescent="0.25">
      <c r="A123" s="581"/>
      <c r="B123" s="250"/>
      <c r="C123" s="250" t="s">
        <v>196</v>
      </c>
      <c r="D123" s="250"/>
      <c r="E123" s="250"/>
      <c r="F123" s="251"/>
      <c r="G123" s="250"/>
      <c r="H123" s="252"/>
      <c r="I123" s="253"/>
      <c r="J123" s="254">
        <f>SUM(J120:J122)</f>
        <v>990</v>
      </c>
      <c r="K123" s="250" t="s">
        <v>14</v>
      </c>
      <c r="L123" s="250"/>
      <c r="M123" s="250"/>
      <c r="N123" s="5"/>
      <c r="O123" s="5"/>
    </row>
    <row r="124" spans="1:21" x14ac:dyDescent="0.25">
      <c r="A124" s="581"/>
      <c r="B124" s="87"/>
      <c r="C124" s="87"/>
      <c r="D124" s="87"/>
      <c r="E124" s="87"/>
      <c r="F124" s="87"/>
      <c r="G124" s="87"/>
      <c r="H124" s="88"/>
      <c r="I124" s="88"/>
      <c r="J124" s="90"/>
      <c r="K124" s="87"/>
      <c r="L124" s="89"/>
      <c r="M124" s="89"/>
      <c r="N124" s="5"/>
    </row>
    <row r="125" spans="1:21" x14ac:dyDescent="0.25">
      <c r="A125" s="581"/>
      <c r="N125" s="5"/>
    </row>
    <row r="126" spans="1:21" ht="15.6" x14ac:dyDescent="0.3">
      <c r="A126" s="581"/>
      <c r="B126" s="219" t="s">
        <v>293</v>
      </c>
      <c r="C126" s="220"/>
      <c r="D126" s="220"/>
      <c r="E126" s="220"/>
      <c r="F126" s="964" t="s">
        <v>159</v>
      </c>
      <c r="G126" s="964"/>
      <c r="H126" s="964" t="s">
        <v>158</v>
      </c>
      <c r="I126" s="964"/>
      <c r="J126" s="964" t="s">
        <v>324</v>
      </c>
      <c r="K126" s="964"/>
      <c r="L126" s="222"/>
      <c r="M126" s="222"/>
      <c r="N126" s="5"/>
    </row>
    <row r="127" spans="1:21" ht="13.8" thickBot="1" x14ac:dyDescent="0.3">
      <c r="A127" s="581"/>
      <c r="B127" s="220"/>
      <c r="C127" s="220"/>
      <c r="D127" s="220"/>
      <c r="E127" s="220"/>
      <c r="F127" s="220"/>
      <c r="G127" s="220"/>
      <c r="H127" s="221"/>
      <c r="I127" s="221"/>
      <c r="J127" s="222"/>
      <c r="K127" s="222"/>
      <c r="L127" s="222"/>
      <c r="M127" s="222"/>
      <c r="N127" s="5"/>
    </row>
    <row r="128" spans="1:21" ht="13.8" thickBot="1" x14ac:dyDescent="0.3">
      <c r="A128" s="581"/>
      <c r="B128" s="220"/>
      <c r="C128" s="220" t="s">
        <v>294</v>
      </c>
      <c r="D128" s="222"/>
      <c r="E128" s="220"/>
      <c r="F128" s="96"/>
      <c r="G128" s="220" t="s">
        <v>0</v>
      </c>
      <c r="H128" s="99"/>
      <c r="I128" s="221" t="s">
        <v>14</v>
      </c>
      <c r="J128" s="223">
        <f t="shared" ref="J128:J130" si="14">F128*H128</f>
        <v>0</v>
      </c>
      <c r="K128" s="220" t="s">
        <v>14</v>
      </c>
      <c r="L128" s="222"/>
      <c r="M128" s="222"/>
      <c r="N128" s="5"/>
    </row>
    <row r="129" spans="1:21" ht="13.8" thickBot="1" x14ac:dyDescent="0.3">
      <c r="B129" s="220"/>
      <c r="C129" s="220" t="s">
        <v>294</v>
      </c>
      <c r="D129" s="220"/>
      <c r="E129" s="220"/>
      <c r="F129" s="96"/>
      <c r="G129" s="220" t="s">
        <v>0</v>
      </c>
      <c r="H129" s="99"/>
      <c r="I129" s="221" t="s">
        <v>14</v>
      </c>
      <c r="J129" s="223">
        <f t="shared" si="14"/>
        <v>0</v>
      </c>
      <c r="K129" s="220" t="s">
        <v>14</v>
      </c>
      <c r="L129" s="222"/>
      <c r="M129" s="222"/>
    </row>
    <row r="130" spans="1:21" ht="13.8" thickBot="1" x14ac:dyDescent="0.3">
      <c r="B130" s="220"/>
      <c r="C130" s="220" t="s">
        <v>294</v>
      </c>
      <c r="D130" s="220"/>
      <c r="E130" s="220"/>
      <c r="F130" s="96"/>
      <c r="G130" s="220" t="s">
        <v>0</v>
      </c>
      <c r="H130" s="99"/>
      <c r="I130" s="221" t="s">
        <v>14</v>
      </c>
      <c r="J130" s="223">
        <f t="shared" si="14"/>
        <v>0</v>
      </c>
      <c r="K130" s="220" t="s">
        <v>14</v>
      </c>
      <c r="L130" s="222"/>
      <c r="M130" s="222"/>
    </row>
    <row r="131" spans="1:21" s="8" customFormat="1" x14ac:dyDescent="0.25">
      <c r="A131" s="576"/>
      <c r="B131" s="255"/>
      <c r="C131" s="255" t="s">
        <v>196</v>
      </c>
      <c r="D131" s="255"/>
      <c r="E131" s="255"/>
      <c r="F131" s="256"/>
      <c r="G131" s="255"/>
      <c r="H131" s="257"/>
      <c r="I131" s="258"/>
      <c r="J131" s="259">
        <f>SUM(J128:J130)</f>
        <v>0</v>
      </c>
      <c r="K131" s="255" t="s">
        <v>14</v>
      </c>
      <c r="L131" s="255"/>
      <c r="M131" s="255"/>
      <c r="N131"/>
      <c r="O131"/>
      <c r="P131"/>
      <c r="Q131"/>
      <c r="R131"/>
      <c r="S131"/>
      <c r="T131"/>
      <c r="U131"/>
    </row>
    <row r="132" spans="1:21" x14ac:dyDescent="0.25">
      <c r="B132" s="220"/>
      <c r="C132" s="220"/>
      <c r="D132" s="220"/>
      <c r="E132" s="220"/>
      <c r="F132" s="220"/>
      <c r="G132" s="220"/>
      <c r="H132" s="221"/>
      <c r="I132" s="221"/>
      <c r="J132" s="223"/>
      <c r="K132" s="220"/>
      <c r="L132" s="222"/>
      <c r="M132" s="222"/>
    </row>
    <row r="133" spans="1:21" ht="30" customHeight="1" x14ac:dyDescent="0.25">
      <c r="N133" s="8"/>
      <c r="O133" s="8"/>
      <c r="P133" s="8"/>
      <c r="Q133" s="8"/>
      <c r="R133" s="8"/>
      <c r="S133" s="8"/>
      <c r="T133" s="8"/>
      <c r="U133" s="8"/>
    </row>
    <row r="134" spans="1:21" ht="15.6" x14ac:dyDescent="0.3">
      <c r="B134" s="225" t="s">
        <v>295</v>
      </c>
      <c r="C134" s="226"/>
      <c r="D134" s="226"/>
      <c r="E134" s="227"/>
      <c r="F134" s="226" t="s">
        <v>159</v>
      </c>
      <c r="G134" s="228"/>
      <c r="H134" s="228" t="s">
        <v>158</v>
      </c>
      <c r="I134" s="226"/>
      <c r="J134" s="226"/>
      <c r="K134" s="229"/>
      <c r="L134" s="229"/>
      <c r="M134" s="229"/>
    </row>
    <row r="135" spans="1:21" ht="16.2" thickBot="1" x14ac:dyDescent="0.35">
      <c r="B135" s="225"/>
      <c r="C135" s="226"/>
      <c r="D135" s="226"/>
      <c r="E135" s="227"/>
      <c r="F135" s="226"/>
      <c r="G135" s="228"/>
      <c r="H135" s="228"/>
      <c r="I135" s="226"/>
      <c r="J135" s="226"/>
      <c r="K135" s="229"/>
      <c r="L135" s="229"/>
      <c r="M135" s="229"/>
    </row>
    <row r="136" spans="1:21" ht="13.8" thickBot="1" x14ac:dyDescent="0.3">
      <c r="B136" s="226"/>
      <c r="C136" s="226" t="s">
        <v>296</v>
      </c>
      <c r="D136" s="229"/>
      <c r="E136" s="230"/>
      <c r="F136" s="96">
        <v>10500</v>
      </c>
      <c r="G136" s="231" t="s">
        <v>18</v>
      </c>
      <c r="H136" s="96">
        <v>0.15</v>
      </c>
      <c r="I136" s="232" t="s">
        <v>10</v>
      </c>
      <c r="J136" s="229">
        <f>H136*F136</f>
        <v>1575</v>
      </c>
      <c r="K136" s="232" t="s">
        <v>14</v>
      </c>
      <c r="L136" s="229"/>
      <c r="M136" s="229"/>
    </row>
    <row r="137" spans="1:21" ht="13.8" thickBot="1" x14ac:dyDescent="0.3">
      <c r="B137" s="226"/>
      <c r="C137" s="226" t="s">
        <v>297</v>
      </c>
      <c r="D137" s="232">
        <f>F169/2</f>
        <v>72</v>
      </c>
      <c r="E137" s="226" t="s">
        <v>9</v>
      </c>
      <c r="F137" s="96">
        <f>+D137*8</f>
        <v>576</v>
      </c>
      <c r="G137" s="228" t="s">
        <v>20</v>
      </c>
      <c r="H137" s="96">
        <v>0.83</v>
      </c>
      <c r="I137" s="232" t="s">
        <v>5</v>
      </c>
      <c r="J137" s="229">
        <f>H137*F137</f>
        <v>478.08</v>
      </c>
      <c r="K137" s="232" t="s">
        <v>14</v>
      </c>
      <c r="L137" s="229"/>
      <c r="M137" s="229"/>
    </row>
    <row r="138" spans="1:21" ht="13.8" thickBot="1" x14ac:dyDescent="0.3">
      <c r="B138" s="226"/>
      <c r="C138" s="226" t="s">
        <v>298</v>
      </c>
      <c r="D138" s="232">
        <f>D137</f>
        <v>72</v>
      </c>
      <c r="E138" s="226" t="s">
        <v>9</v>
      </c>
      <c r="F138" s="96">
        <v>11.88</v>
      </c>
      <c r="G138" s="228" t="s">
        <v>21</v>
      </c>
      <c r="H138" s="96">
        <v>4</v>
      </c>
      <c r="I138" s="232" t="s">
        <v>6</v>
      </c>
      <c r="J138" s="229">
        <f t="shared" ref="J138:J142" si="15">H138*F138</f>
        <v>47.52</v>
      </c>
      <c r="K138" s="232" t="s">
        <v>14</v>
      </c>
      <c r="L138" s="229"/>
      <c r="M138" s="229"/>
    </row>
    <row r="139" spans="1:21" ht="13.8" thickBot="1" x14ac:dyDescent="0.3">
      <c r="B139" s="226"/>
      <c r="C139" s="226" t="s">
        <v>19</v>
      </c>
      <c r="D139" s="229"/>
      <c r="E139" s="232"/>
      <c r="F139" s="96">
        <v>200</v>
      </c>
      <c r="G139" s="228" t="s">
        <v>20</v>
      </c>
      <c r="H139" s="96">
        <v>1.53</v>
      </c>
      <c r="I139" s="232" t="s">
        <v>5</v>
      </c>
      <c r="J139" s="229">
        <f t="shared" si="15"/>
        <v>306</v>
      </c>
      <c r="K139" s="232" t="s">
        <v>14</v>
      </c>
      <c r="L139" s="229"/>
      <c r="M139" s="229"/>
    </row>
    <row r="140" spans="1:21" ht="13.8" thickBot="1" x14ac:dyDescent="0.3">
      <c r="B140" s="226"/>
      <c r="C140" s="226" t="s">
        <v>299</v>
      </c>
      <c r="D140" s="229"/>
      <c r="E140" s="232"/>
      <c r="F140" s="96"/>
      <c r="G140" s="228" t="s">
        <v>20</v>
      </c>
      <c r="H140" s="96"/>
      <c r="I140" s="232" t="s">
        <v>5</v>
      </c>
      <c r="J140" s="229">
        <f t="shared" si="15"/>
        <v>0</v>
      </c>
      <c r="K140" s="232" t="s">
        <v>14</v>
      </c>
      <c r="L140" s="229"/>
      <c r="M140" s="229"/>
    </row>
    <row r="141" spans="1:21" ht="13.8" thickBot="1" x14ac:dyDescent="0.3">
      <c r="B141" s="226"/>
      <c r="C141" s="226" t="s">
        <v>300</v>
      </c>
      <c r="D141" s="229"/>
      <c r="E141" s="232"/>
      <c r="F141" s="96"/>
      <c r="G141" s="228"/>
      <c r="H141" s="96"/>
      <c r="I141" s="232"/>
      <c r="J141" s="229">
        <f t="shared" si="15"/>
        <v>0</v>
      </c>
      <c r="K141" s="232" t="s">
        <v>14</v>
      </c>
      <c r="L141" s="229"/>
      <c r="M141" s="229"/>
    </row>
    <row r="142" spans="1:21" ht="13.8" thickBot="1" x14ac:dyDescent="0.3">
      <c r="B142" s="229"/>
      <c r="C142" s="226" t="s">
        <v>300</v>
      </c>
      <c r="D142" s="229"/>
      <c r="E142" s="229"/>
      <c r="F142" s="96"/>
      <c r="G142" s="229"/>
      <c r="H142" s="96"/>
      <c r="I142" s="229"/>
      <c r="J142" s="229">
        <f t="shared" si="15"/>
        <v>0</v>
      </c>
      <c r="K142" s="232" t="s">
        <v>14</v>
      </c>
      <c r="L142" s="229"/>
      <c r="M142" s="229"/>
    </row>
    <row r="143" spans="1:21" s="8" customFormat="1" x14ac:dyDescent="0.25">
      <c r="A143" s="576"/>
      <c r="B143" s="260"/>
      <c r="C143" s="260" t="s">
        <v>196</v>
      </c>
      <c r="D143" s="260"/>
      <c r="E143" s="260"/>
      <c r="F143" s="261"/>
      <c r="G143" s="260"/>
      <c r="H143" s="261"/>
      <c r="I143" s="260"/>
      <c r="J143" s="260">
        <f>SUM(J136:J142)</f>
        <v>2406.6</v>
      </c>
      <c r="K143" s="262" t="s">
        <v>14</v>
      </c>
      <c r="L143" s="260"/>
      <c r="M143" s="260"/>
    </row>
    <row r="144" spans="1:21" x14ac:dyDescent="0.25">
      <c r="B144" s="229"/>
      <c r="C144" s="229"/>
      <c r="D144" s="229"/>
      <c r="E144" s="229"/>
      <c r="F144" s="229"/>
      <c r="G144" s="229"/>
      <c r="H144" s="229"/>
      <c r="I144" s="229"/>
      <c r="J144" s="229"/>
      <c r="K144" s="229"/>
      <c r="L144" s="229"/>
      <c r="M144" s="229"/>
    </row>
    <row r="146" spans="1:21" ht="15.6" x14ac:dyDescent="0.3">
      <c r="B146" s="112" t="s">
        <v>301</v>
      </c>
      <c r="C146" s="101"/>
      <c r="D146" s="101"/>
      <c r="E146" s="101"/>
      <c r="F146" s="101"/>
      <c r="G146" s="101"/>
      <c r="H146" s="101"/>
      <c r="I146" s="101"/>
      <c r="J146" s="101"/>
      <c r="K146" s="101"/>
      <c r="L146" s="101"/>
      <c r="M146" s="101"/>
    </row>
    <row r="147" spans="1:21" ht="15.6" x14ac:dyDescent="0.3">
      <c r="B147" s="112"/>
      <c r="C147" s="101"/>
      <c r="D147" s="101"/>
      <c r="E147" s="101"/>
      <c r="F147" s="101"/>
      <c r="G147" s="101"/>
      <c r="H147" s="101"/>
      <c r="I147" s="101"/>
      <c r="J147" s="101"/>
      <c r="K147" s="101"/>
      <c r="L147" s="101"/>
      <c r="M147" s="101"/>
    </row>
    <row r="148" spans="1:21" ht="40.049999999999997" customHeight="1" x14ac:dyDescent="0.25">
      <c r="B148" s="961" t="s">
        <v>302</v>
      </c>
      <c r="C148" s="961"/>
      <c r="D148" s="961"/>
      <c r="E148" s="961"/>
      <c r="F148" s="961"/>
      <c r="G148" s="961"/>
      <c r="H148" s="961"/>
      <c r="I148" s="961"/>
      <c r="J148" s="961"/>
      <c r="K148" s="961"/>
      <c r="L148" s="961"/>
      <c r="M148" s="961"/>
    </row>
    <row r="149" spans="1:21" s="8" customFormat="1" ht="15.6" x14ac:dyDescent="0.3">
      <c r="A149" s="576"/>
      <c r="B149" s="112"/>
      <c r="C149" s="101"/>
      <c r="D149" s="101"/>
      <c r="E149" s="834"/>
      <c r="F149" s="834"/>
      <c r="G149" s="834"/>
      <c r="H149" s="835"/>
      <c r="I149" s="835"/>
      <c r="J149" s="834"/>
      <c r="K149" s="834"/>
      <c r="L149" s="835"/>
      <c r="M149" s="835"/>
      <c r="N149"/>
      <c r="O149"/>
      <c r="P149"/>
      <c r="Q149"/>
      <c r="R149"/>
      <c r="S149"/>
      <c r="T149"/>
      <c r="U149"/>
    </row>
    <row r="150" spans="1:21" ht="15.6" x14ac:dyDescent="0.3">
      <c r="B150" s="112"/>
      <c r="C150" s="101"/>
      <c r="D150" s="101"/>
      <c r="E150" s="962" t="s">
        <v>303</v>
      </c>
      <c r="F150" s="962"/>
      <c r="G150" s="962"/>
      <c r="H150" s="963" t="s">
        <v>158</v>
      </c>
      <c r="I150" s="963"/>
      <c r="J150" s="963" t="s">
        <v>304</v>
      </c>
      <c r="K150" s="963"/>
      <c r="L150" s="963" t="s">
        <v>158</v>
      </c>
      <c r="M150" s="963"/>
    </row>
    <row r="151" spans="1:21" ht="33" customHeight="1" thickBot="1" x14ac:dyDescent="0.3">
      <c r="B151" s="100"/>
      <c r="C151" s="101"/>
      <c r="D151" s="101"/>
      <c r="E151" s="101"/>
      <c r="F151" s="101"/>
      <c r="G151" s="101"/>
      <c r="H151" s="101"/>
      <c r="I151" s="101"/>
      <c r="J151" s="101"/>
      <c r="K151" s="101"/>
      <c r="L151" s="101"/>
      <c r="M151" s="101"/>
      <c r="N151" s="8"/>
      <c r="O151" s="8"/>
      <c r="P151" s="8"/>
      <c r="Q151" s="8"/>
      <c r="R151" s="8"/>
      <c r="S151" s="8"/>
      <c r="T151" s="8"/>
      <c r="U151" s="8"/>
    </row>
    <row r="152" spans="1:21" ht="13.8" thickBot="1" x14ac:dyDescent="0.3">
      <c r="B152" s="101"/>
      <c r="C152" s="102" t="s">
        <v>322</v>
      </c>
      <c r="D152" s="101"/>
      <c r="E152" s="101"/>
      <c r="F152" s="115">
        <v>2</v>
      </c>
      <c r="G152" s="104" t="s">
        <v>22</v>
      </c>
      <c r="H152" s="117">
        <v>14.5</v>
      </c>
      <c r="I152" s="104" t="s">
        <v>11</v>
      </c>
      <c r="J152" s="116"/>
      <c r="K152" s="104" t="s">
        <v>22</v>
      </c>
      <c r="L152" s="117">
        <v>14.5</v>
      </c>
      <c r="M152" s="104" t="s">
        <v>11</v>
      </c>
    </row>
    <row r="153" spans="1:21" ht="13.8" thickBot="1" x14ac:dyDescent="0.3">
      <c r="B153" s="101"/>
      <c r="C153" s="102" t="s">
        <v>321</v>
      </c>
      <c r="D153" s="101"/>
      <c r="E153" s="101"/>
      <c r="F153" s="115">
        <v>3</v>
      </c>
      <c r="G153" s="104" t="s">
        <v>22</v>
      </c>
      <c r="H153" s="114">
        <f>$H$152</f>
        <v>14.5</v>
      </c>
      <c r="I153" s="104" t="s">
        <v>11</v>
      </c>
      <c r="J153" s="116"/>
      <c r="K153" s="104" t="s">
        <v>22</v>
      </c>
      <c r="L153" s="114">
        <f>$L$152</f>
        <v>14.5</v>
      </c>
      <c r="M153" s="104" t="s">
        <v>11</v>
      </c>
    </row>
    <row r="154" spans="1:21" ht="13.8" thickBot="1" x14ac:dyDescent="0.3">
      <c r="B154" s="101"/>
      <c r="C154" s="102" t="s">
        <v>308</v>
      </c>
      <c r="D154" s="101"/>
      <c r="E154" s="101"/>
      <c r="F154" s="115">
        <v>6</v>
      </c>
      <c r="G154" s="104" t="s">
        <v>22</v>
      </c>
      <c r="H154" s="114">
        <f t="shared" ref="H154:H168" si="16">$H$152</f>
        <v>14.5</v>
      </c>
      <c r="I154" s="104" t="s">
        <v>11</v>
      </c>
      <c r="J154" s="116"/>
      <c r="K154" s="104" t="s">
        <v>22</v>
      </c>
      <c r="L154" s="114">
        <f t="shared" ref="L154:L168" si="17">$L$152</f>
        <v>14.5</v>
      </c>
      <c r="M154" s="104" t="s">
        <v>11</v>
      </c>
    </row>
    <row r="155" spans="1:21" ht="13.8" thickBot="1" x14ac:dyDescent="0.3">
      <c r="B155" s="101"/>
      <c r="C155" s="102" t="s">
        <v>311</v>
      </c>
      <c r="D155" s="101"/>
      <c r="E155" s="101"/>
      <c r="F155" s="115">
        <v>5</v>
      </c>
      <c r="G155" s="104" t="s">
        <v>22</v>
      </c>
      <c r="H155" s="114">
        <f t="shared" si="16"/>
        <v>14.5</v>
      </c>
      <c r="I155" s="104" t="s">
        <v>11</v>
      </c>
      <c r="J155" s="116">
        <v>10</v>
      </c>
      <c r="K155" s="104" t="s">
        <v>22</v>
      </c>
      <c r="L155" s="114">
        <f t="shared" si="17"/>
        <v>14.5</v>
      </c>
      <c r="M155" s="104" t="s">
        <v>11</v>
      </c>
    </row>
    <row r="156" spans="1:21" ht="13.8" thickBot="1" x14ac:dyDescent="0.3">
      <c r="B156" s="101"/>
      <c r="C156" s="102" t="s">
        <v>312</v>
      </c>
      <c r="D156" s="101"/>
      <c r="E156" s="101"/>
      <c r="F156" s="115">
        <v>8</v>
      </c>
      <c r="G156" s="104" t="s">
        <v>22</v>
      </c>
      <c r="H156" s="114">
        <f t="shared" si="16"/>
        <v>14.5</v>
      </c>
      <c r="I156" s="104" t="s">
        <v>11</v>
      </c>
      <c r="J156" s="116"/>
      <c r="K156" s="104" t="s">
        <v>22</v>
      </c>
      <c r="L156" s="114">
        <f t="shared" si="17"/>
        <v>14.5</v>
      </c>
      <c r="M156" s="104" t="s">
        <v>11</v>
      </c>
    </row>
    <row r="157" spans="1:21" ht="13.8" thickBot="1" x14ac:dyDescent="0.3">
      <c r="B157" s="101"/>
      <c r="C157" s="102" t="s">
        <v>315</v>
      </c>
      <c r="D157" s="101"/>
      <c r="E157" s="101"/>
      <c r="F157" s="115">
        <v>4</v>
      </c>
      <c r="G157" s="104" t="s">
        <v>22</v>
      </c>
      <c r="H157" s="114">
        <f t="shared" si="16"/>
        <v>14.5</v>
      </c>
      <c r="I157" s="104" t="s">
        <v>11</v>
      </c>
      <c r="J157" s="116"/>
      <c r="K157" s="104" t="s">
        <v>22</v>
      </c>
      <c r="L157" s="114">
        <f t="shared" si="17"/>
        <v>14.5</v>
      </c>
      <c r="M157" s="104" t="s">
        <v>11</v>
      </c>
    </row>
    <row r="158" spans="1:21" s="8" customFormat="1" ht="13.8" thickBot="1" x14ac:dyDescent="0.3">
      <c r="A158" s="576"/>
      <c r="B158" s="101"/>
      <c r="C158" s="102" t="s">
        <v>313</v>
      </c>
      <c r="D158" s="101"/>
      <c r="E158" s="101"/>
      <c r="F158" s="115">
        <v>20</v>
      </c>
      <c r="G158" s="104" t="s">
        <v>22</v>
      </c>
      <c r="H158" s="114">
        <f t="shared" si="16"/>
        <v>14.5</v>
      </c>
      <c r="I158" s="104" t="s">
        <v>11</v>
      </c>
      <c r="J158" s="116"/>
      <c r="K158" s="104" t="s">
        <v>22</v>
      </c>
      <c r="L158" s="114">
        <f t="shared" si="17"/>
        <v>14.5</v>
      </c>
      <c r="M158" s="104" t="s">
        <v>11</v>
      </c>
      <c r="N158"/>
      <c r="O158"/>
      <c r="P158"/>
      <c r="Q158"/>
      <c r="R158"/>
      <c r="S158"/>
      <c r="T158"/>
      <c r="U158"/>
    </row>
    <row r="159" spans="1:21" ht="13.8" thickBot="1" x14ac:dyDescent="0.3">
      <c r="B159" s="101"/>
      <c r="C159" s="102" t="s">
        <v>314</v>
      </c>
      <c r="D159" s="101"/>
      <c r="E159" s="101"/>
      <c r="F159" s="115">
        <v>4</v>
      </c>
      <c r="G159" s="104" t="s">
        <v>22</v>
      </c>
      <c r="H159" s="114">
        <f t="shared" si="16"/>
        <v>14.5</v>
      </c>
      <c r="I159" s="104" t="s">
        <v>11</v>
      </c>
      <c r="J159" s="116"/>
      <c r="K159" s="104" t="s">
        <v>22</v>
      </c>
      <c r="L159" s="114">
        <f t="shared" si="17"/>
        <v>14.5</v>
      </c>
      <c r="M159" s="104" t="s">
        <v>11</v>
      </c>
    </row>
    <row r="160" spans="1:21" ht="13.8" thickBot="1" x14ac:dyDescent="0.3">
      <c r="B160" s="101"/>
      <c r="C160" s="102" t="s">
        <v>316</v>
      </c>
      <c r="D160" s="101"/>
      <c r="E160" s="101"/>
      <c r="F160" s="115">
        <v>4</v>
      </c>
      <c r="G160" s="104" t="s">
        <v>22</v>
      </c>
      <c r="H160" s="114">
        <f t="shared" si="16"/>
        <v>14.5</v>
      </c>
      <c r="I160" s="104" t="s">
        <v>11</v>
      </c>
      <c r="J160" s="116"/>
      <c r="K160" s="104" t="s">
        <v>22</v>
      </c>
      <c r="L160" s="114">
        <f t="shared" si="17"/>
        <v>14.5</v>
      </c>
      <c r="M160" s="104" t="s">
        <v>11</v>
      </c>
      <c r="N160" s="8"/>
      <c r="O160" s="8"/>
      <c r="P160" s="8"/>
      <c r="Q160" s="8"/>
      <c r="R160" s="8"/>
      <c r="S160" s="8"/>
      <c r="T160" s="8"/>
      <c r="U160" s="8"/>
    </row>
    <row r="161" spans="2:21" ht="13.8" thickBot="1" x14ac:dyDescent="0.3">
      <c r="B161" s="101"/>
      <c r="C161" s="102" t="s">
        <v>317</v>
      </c>
      <c r="D161" s="101"/>
      <c r="E161" s="101"/>
      <c r="F161" s="115">
        <v>8</v>
      </c>
      <c r="G161" s="104" t="s">
        <v>22</v>
      </c>
      <c r="H161" s="114">
        <f t="shared" si="16"/>
        <v>14.5</v>
      </c>
      <c r="I161" s="104" t="s">
        <v>11</v>
      </c>
      <c r="J161" s="116"/>
      <c r="K161" s="104" t="s">
        <v>22</v>
      </c>
      <c r="L161" s="114">
        <f t="shared" si="17"/>
        <v>14.5</v>
      </c>
      <c r="M161" s="104" t="s">
        <v>11</v>
      </c>
    </row>
    <row r="162" spans="2:21" ht="13.8" thickBot="1" x14ac:dyDescent="0.3">
      <c r="B162" s="101"/>
      <c r="C162" s="102" t="s">
        <v>132</v>
      </c>
      <c r="D162" s="101"/>
      <c r="E162" s="101"/>
      <c r="F162" s="115">
        <v>20</v>
      </c>
      <c r="G162" s="104" t="s">
        <v>22</v>
      </c>
      <c r="H162" s="114">
        <f t="shared" si="16"/>
        <v>14.5</v>
      </c>
      <c r="I162" s="104" t="s">
        <v>11</v>
      </c>
      <c r="J162" s="116">
        <v>20</v>
      </c>
      <c r="K162" s="104" t="s">
        <v>22</v>
      </c>
      <c r="L162" s="114">
        <f t="shared" si="17"/>
        <v>14.5</v>
      </c>
      <c r="M162" s="104" t="s">
        <v>11</v>
      </c>
    </row>
    <row r="163" spans="2:21" ht="13.8" thickBot="1" x14ac:dyDescent="0.3">
      <c r="B163" s="101"/>
      <c r="C163" s="102" t="s">
        <v>318</v>
      </c>
      <c r="D163" s="101"/>
      <c r="E163" s="101"/>
      <c r="F163" s="115">
        <v>10</v>
      </c>
      <c r="G163" s="104" t="s">
        <v>22</v>
      </c>
      <c r="H163" s="114">
        <f t="shared" si="16"/>
        <v>14.5</v>
      </c>
      <c r="I163" s="104" t="s">
        <v>11</v>
      </c>
      <c r="J163" s="116"/>
      <c r="K163" s="104" t="s">
        <v>22</v>
      </c>
      <c r="L163" s="114">
        <f t="shared" si="17"/>
        <v>14.5</v>
      </c>
      <c r="M163" s="104" t="s">
        <v>11</v>
      </c>
    </row>
    <row r="164" spans="2:21" ht="13.8" thickBot="1" x14ac:dyDescent="0.3">
      <c r="B164" s="101"/>
      <c r="C164" s="102" t="s">
        <v>319</v>
      </c>
      <c r="D164" s="101"/>
      <c r="E164" s="101"/>
      <c r="F164" s="116">
        <v>40</v>
      </c>
      <c r="G164" s="104" t="s">
        <v>22</v>
      </c>
      <c r="H164" s="114">
        <f t="shared" si="16"/>
        <v>14.5</v>
      </c>
      <c r="I164" s="104" t="s">
        <v>11</v>
      </c>
      <c r="J164" s="116">
        <v>40</v>
      </c>
      <c r="K164" s="104" t="s">
        <v>22</v>
      </c>
      <c r="L164" s="114">
        <f t="shared" si="17"/>
        <v>14.5</v>
      </c>
      <c r="M164" s="104" t="s">
        <v>11</v>
      </c>
    </row>
    <row r="165" spans="2:21" ht="13.8" thickBot="1" x14ac:dyDescent="0.3">
      <c r="B165" s="101"/>
      <c r="C165" s="102" t="s">
        <v>306</v>
      </c>
      <c r="D165" s="101"/>
      <c r="E165" s="101"/>
      <c r="F165" s="116">
        <v>10</v>
      </c>
      <c r="G165" s="104" t="s">
        <v>22</v>
      </c>
      <c r="H165" s="114">
        <f t="shared" si="16"/>
        <v>14.5</v>
      </c>
      <c r="I165" s="104" t="s">
        <v>11</v>
      </c>
      <c r="J165" s="116"/>
      <c r="K165" s="104" t="s">
        <v>22</v>
      </c>
      <c r="L165" s="114">
        <f t="shared" si="17"/>
        <v>14.5</v>
      </c>
      <c r="M165" s="104" t="s">
        <v>11</v>
      </c>
    </row>
    <row r="166" spans="2:21" ht="13.8" thickBot="1" x14ac:dyDescent="0.3">
      <c r="B166" s="101"/>
      <c r="C166" s="102" t="s">
        <v>305</v>
      </c>
      <c r="D166" s="101"/>
      <c r="E166" s="101"/>
      <c r="F166" s="116"/>
      <c r="G166" s="104" t="s">
        <v>22</v>
      </c>
      <c r="H166" s="114">
        <f t="shared" si="16"/>
        <v>14.5</v>
      </c>
      <c r="I166" s="104" t="s">
        <v>11</v>
      </c>
      <c r="J166" s="97"/>
      <c r="K166" s="104" t="s">
        <v>22</v>
      </c>
      <c r="L166" s="114">
        <f t="shared" si="17"/>
        <v>14.5</v>
      </c>
      <c r="M166" s="104" t="s">
        <v>11</v>
      </c>
    </row>
    <row r="167" spans="2:21" ht="13.8" thickBot="1" x14ac:dyDescent="0.3">
      <c r="B167" s="101"/>
      <c r="C167" s="102" t="s">
        <v>305</v>
      </c>
      <c r="D167" s="101"/>
      <c r="E167" s="101"/>
      <c r="F167" s="116"/>
      <c r="G167" s="104" t="s">
        <v>22</v>
      </c>
      <c r="H167" s="114">
        <f t="shared" si="16"/>
        <v>14.5</v>
      </c>
      <c r="I167" s="104" t="s">
        <v>11</v>
      </c>
      <c r="J167" s="97"/>
      <c r="K167" s="104" t="s">
        <v>22</v>
      </c>
      <c r="L167" s="114">
        <f t="shared" si="17"/>
        <v>14.5</v>
      </c>
      <c r="M167" s="104" t="s">
        <v>11</v>
      </c>
    </row>
    <row r="168" spans="2:21" ht="13.8" thickBot="1" x14ac:dyDescent="0.3">
      <c r="B168" s="101"/>
      <c r="C168" s="102" t="s">
        <v>305</v>
      </c>
      <c r="D168" s="103"/>
      <c r="E168" s="103"/>
      <c r="F168" s="97"/>
      <c r="G168" s="104" t="s">
        <v>22</v>
      </c>
      <c r="H168" s="114">
        <f t="shared" si="16"/>
        <v>14.5</v>
      </c>
      <c r="I168" s="104" t="s">
        <v>11</v>
      </c>
      <c r="J168" s="97"/>
      <c r="K168" s="104" t="s">
        <v>22</v>
      </c>
      <c r="L168" s="114">
        <f t="shared" si="17"/>
        <v>14.5</v>
      </c>
      <c r="M168" s="104" t="s">
        <v>11</v>
      </c>
    </row>
    <row r="169" spans="2:21" x14ac:dyDescent="0.25">
      <c r="B169" s="264"/>
      <c r="C169" s="265" t="s">
        <v>196</v>
      </c>
      <c r="D169" s="266"/>
      <c r="E169" s="266"/>
      <c r="F169" s="267">
        <f>SUM(F152:F168)</f>
        <v>144</v>
      </c>
      <c r="G169" s="264" t="s">
        <v>22</v>
      </c>
      <c r="H169" s="268">
        <f>F169*H152</f>
        <v>2088</v>
      </c>
      <c r="I169" s="264" t="s">
        <v>14</v>
      </c>
      <c r="J169" s="269">
        <f>SUM(J152:J168)</f>
        <v>70</v>
      </c>
      <c r="K169" s="264" t="s">
        <v>22</v>
      </c>
      <c r="L169" s="268">
        <f>J169*L152</f>
        <v>1015</v>
      </c>
      <c r="M169" s="264" t="s">
        <v>14</v>
      </c>
    </row>
    <row r="171" spans="2:21" ht="40.049999999999997" customHeight="1" x14ac:dyDescent="0.25">
      <c r="N171" s="8"/>
      <c r="O171" s="8"/>
      <c r="P171" s="8"/>
      <c r="Q171" s="8"/>
      <c r="R171" s="8"/>
      <c r="S171" s="8"/>
      <c r="T171" s="8"/>
      <c r="U171" s="8"/>
    </row>
    <row r="174" spans="2:21" ht="37.950000000000003" customHeight="1" x14ac:dyDescent="0.25"/>
    <row r="186" spans="1:21" s="8" customFormat="1" x14ac:dyDescent="0.25">
      <c r="A186" s="576"/>
      <c r="B186"/>
      <c r="C186"/>
      <c r="D186"/>
      <c r="E186"/>
      <c r="F186"/>
      <c r="G186"/>
      <c r="H186"/>
      <c r="I186"/>
      <c r="J186"/>
      <c r="K186"/>
      <c r="L186"/>
      <c r="M186"/>
      <c r="N186"/>
      <c r="O186"/>
      <c r="P186"/>
      <c r="Q186"/>
      <c r="R186"/>
      <c r="S186"/>
      <c r="T186"/>
      <c r="U186"/>
    </row>
    <row r="188" spans="1:21" x14ac:dyDescent="0.25">
      <c r="N188" s="8"/>
      <c r="O188" s="8"/>
      <c r="P188" s="8"/>
      <c r="Q188" s="8"/>
      <c r="R188" s="8"/>
      <c r="S188" s="8"/>
      <c r="T188" s="8"/>
      <c r="U188" s="8"/>
    </row>
  </sheetData>
  <mergeCells count="45">
    <mergeCell ref="F126:G126"/>
    <mergeCell ref="H126:I126"/>
    <mergeCell ref="J126:K126"/>
    <mergeCell ref="B148:M148"/>
    <mergeCell ref="E150:G150"/>
    <mergeCell ref="H150:I150"/>
    <mergeCell ref="J150:K150"/>
    <mergeCell ref="L150:M150"/>
    <mergeCell ref="F105:G105"/>
    <mergeCell ref="H105:I105"/>
    <mergeCell ref="J105:K105"/>
    <mergeCell ref="F118:G118"/>
    <mergeCell ref="H118:I118"/>
    <mergeCell ref="J118:K118"/>
    <mergeCell ref="F76:G76"/>
    <mergeCell ref="H76:I76"/>
    <mergeCell ref="J76:K76"/>
    <mergeCell ref="F86:G86"/>
    <mergeCell ref="H86:I86"/>
    <mergeCell ref="J86:K86"/>
    <mergeCell ref="B62:D62"/>
    <mergeCell ref="B66:D66"/>
    <mergeCell ref="B69:E69"/>
    <mergeCell ref="L69:M69"/>
    <mergeCell ref="F71:G71"/>
    <mergeCell ref="H71:I71"/>
    <mergeCell ref="J71:K71"/>
    <mergeCell ref="B64:D64"/>
    <mergeCell ref="B57:D57"/>
    <mergeCell ref="B26:E26"/>
    <mergeCell ref="B27:E27"/>
    <mergeCell ref="B28:D28"/>
    <mergeCell ref="B31:C31"/>
    <mergeCell ref="C34:D34"/>
    <mergeCell ref="B38:D38"/>
    <mergeCell ref="C41:D41"/>
    <mergeCell ref="B45:D45"/>
    <mergeCell ref="C48:D48"/>
    <mergeCell ref="B52:C52"/>
    <mergeCell ref="C55:D55"/>
    <mergeCell ref="O18:Q18"/>
    <mergeCell ref="B4:L4"/>
    <mergeCell ref="O9:Q9"/>
    <mergeCell ref="T9:U9"/>
    <mergeCell ref="B11:D11"/>
  </mergeCells>
  <hyperlinks>
    <hyperlink ref="L69" location="'Avomaan mansikka'!B2" display="PALAA SIVUN YLÄLAITAAN" xr:uid="{5D7CECF0-67D8-2948-AC36-92980793FBB0}"/>
    <hyperlink ref="L69:M69" location="Kål!A1" display="TILL SIDANS BÖRJAN" xr:uid="{81FDA73A-77A0-8A45-B618-5649AE406911}"/>
    <hyperlink ref="B31:C31" location="Ägendom!B13" display="BYGGNADER" xr:uid="{3D25F041-A414-4570-86A9-CE4C51AADFDE}"/>
    <hyperlink ref="B38:D38" location="Ägendom!B27" display="MASKINER OCH UTRUSTNING" xr:uid="{39E8BE8C-A93D-4D52-800E-A26375216117}"/>
    <hyperlink ref="B45:D45" location="Ägendom!B56" display="LÅNGVARIGA PRODUKTIONSMEDEL" xr:uid="{9ADD4C14-0915-4881-A1FC-B646560482CE}"/>
    <hyperlink ref="B52:C52" location="Ägendom!B79" display="TÄCKDIKEN" xr:uid="{DC0181AF-EF59-4E02-86BD-10E3624F0328}"/>
    <hyperlink ref="B2" location="'Gårdens info'!A1" display="ÅTERGÅ TILL FRAMSIDAN" xr:uid="{502CF0D3-E256-467A-8687-8393CF2AE5C1}"/>
    <hyperlink ref="B26:E26" location="'Gårdens info'!A131" display="ALLMÄNNA KOSTNADER, kålens andel" xr:uid="{B40783E4-1DC5-4DBC-9104-ED07E9AA262B}"/>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A8A53C-4254-EB48-91A9-5D92A4ACF03E}">
  <sheetPr>
    <tabColor rgb="FFFFFC91"/>
  </sheetPr>
  <dimension ref="A1:AC190"/>
  <sheetViews>
    <sheetView topLeftCell="A178" workbookViewId="0">
      <selection activeCell="B45" sqref="B45:D45"/>
    </sheetView>
  </sheetViews>
  <sheetFormatPr defaultColWidth="11.44140625" defaultRowHeight="13.2" x14ac:dyDescent="0.25"/>
  <cols>
    <col min="1" max="1" width="5.33203125" style="129" customWidth="1"/>
    <col min="3" max="3" width="16.77734375" customWidth="1"/>
    <col min="4" max="4" width="22.6640625" customWidth="1"/>
    <col min="5" max="5" width="12.109375" bestFit="1" customWidth="1"/>
    <col min="6" max="6" width="20.6640625" bestFit="1" customWidth="1"/>
    <col min="7" max="7" width="6.33203125" customWidth="1"/>
    <col min="9" max="9" width="6" customWidth="1"/>
    <col min="10" max="10" width="15.109375" customWidth="1"/>
    <col min="11" max="11" width="9.6640625" customWidth="1"/>
    <col min="12" max="12" width="20" customWidth="1"/>
    <col min="13" max="13" width="12.109375" customWidth="1"/>
    <col min="14" max="14" width="9.44140625" customWidth="1"/>
    <col min="15" max="15" width="6.77734375" customWidth="1"/>
    <col min="16" max="16" width="4.44140625" customWidth="1"/>
    <col min="17" max="17" width="15" customWidth="1"/>
    <col min="18" max="18" width="5.109375" customWidth="1"/>
    <col min="19" max="19" width="18.33203125" bestFit="1" customWidth="1"/>
  </cols>
  <sheetData>
    <row r="1" spans="1:21" s="129" customFormat="1" ht="22.8" x14ac:dyDescent="0.4">
      <c r="B1" s="376" t="s">
        <v>110</v>
      </c>
    </row>
    <row r="2" spans="1:21" ht="27" customHeight="1" x14ac:dyDescent="0.3">
      <c r="B2" s="852" t="s">
        <v>337</v>
      </c>
      <c r="C2" s="852"/>
      <c r="F2" s="91"/>
      <c r="G2" s="91"/>
      <c r="H2" s="91"/>
    </row>
    <row r="3" spans="1:21" ht="27" customHeight="1" x14ac:dyDescent="0.3">
      <c r="B3" s="839"/>
      <c r="C3" s="839"/>
    </row>
    <row r="4" spans="1:21" ht="40.049999999999997" customHeight="1" x14ac:dyDescent="0.3">
      <c r="B4" s="942" t="s">
        <v>236</v>
      </c>
      <c r="C4" s="942"/>
      <c r="D4" s="942"/>
      <c r="E4" s="942"/>
      <c r="F4" s="942"/>
      <c r="G4" s="942"/>
      <c r="H4" s="942"/>
      <c r="I4" s="942"/>
      <c r="J4" s="942"/>
      <c r="K4" s="942"/>
      <c r="L4" s="942"/>
    </row>
    <row r="5" spans="1:21" ht="27" customHeight="1" thickBot="1" x14ac:dyDescent="0.35">
      <c r="B5" s="233"/>
      <c r="C5" s="233"/>
    </row>
    <row r="6" spans="1:21" ht="27" customHeight="1" x14ac:dyDescent="0.4">
      <c r="B6" s="318" t="s">
        <v>253</v>
      </c>
      <c r="C6" s="282"/>
      <c r="D6" s="283"/>
      <c r="E6" s="283"/>
      <c r="F6" s="283"/>
      <c r="G6" s="283"/>
      <c r="H6" s="283"/>
      <c r="I6" s="283"/>
      <c r="J6" s="283"/>
      <c r="K6" s="283"/>
      <c r="L6" s="283"/>
      <c r="M6" s="284"/>
      <c r="N6" s="441"/>
      <c r="O6" s="283"/>
      <c r="P6" s="283"/>
      <c r="Q6" s="283"/>
      <c r="R6" s="283"/>
      <c r="S6" s="283"/>
      <c r="T6" s="283"/>
      <c r="U6" s="284"/>
    </row>
    <row r="7" spans="1:21" ht="27" customHeight="1" x14ac:dyDescent="0.4">
      <c r="B7" s="285"/>
      <c r="C7" s="286"/>
      <c r="D7" s="148"/>
      <c r="E7" s="148"/>
      <c r="F7" s="148"/>
      <c r="G7" s="148"/>
      <c r="H7" s="148"/>
      <c r="I7" s="148"/>
      <c r="J7" s="148"/>
      <c r="K7" s="148"/>
      <c r="L7" s="148"/>
      <c r="M7" s="287"/>
      <c r="N7" s="442"/>
      <c r="O7" s="148"/>
      <c r="P7" s="148"/>
      <c r="Q7" s="148"/>
      <c r="R7" s="148"/>
      <c r="S7" s="148"/>
      <c r="T7" s="148"/>
      <c r="U7" s="287"/>
    </row>
    <row r="8" spans="1:21" ht="21" x14ac:dyDescent="0.4">
      <c r="B8" s="319" t="s">
        <v>238</v>
      </c>
      <c r="C8" s="286"/>
      <c r="D8" s="148"/>
      <c r="E8" s="151"/>
      <c r="F8" s="151"/>
      <c r="G8" s="151"/>
      <c r="H8" s="151"/>
      <c r="I8" s="148"/>
      <c r="J8" s="148"/>
      <c r="K8" s="148"/>
      <c r="L8" s="148"/>
      <c r="M8" s="287"/>
      <c r="N8" s="319" t="s">
        <v>239</v>
      </c>
      <c r="O8" s="148"/>
      <c r="P8" s="148"/>
      <c r="Q8" s="148"/>
      <c r="R8" s="148"/>
      <c r="S8" s="148"/>
      <c r="T8" s="148"/>
      <c r="U8" s="300"/>
    </row>
    <row r="9" spans="1:21" ht="21" customHeight="1" thickBot="1" x14ac:dyDescent="0.35">
      <c r="B9" s="288"/>
      <c r="C9" s="289" t="s">
        <v>239</v>
      </c>
      <c r="D9" s="151"/>
      <c r="E9" s="151"/>
      <c r="F9" s="290">
        <f>H9*'Gårdens info'!G12</f>
        <v>33600</v>
      </c>
      <c r="G9" s="151" t="s">
        <v>14</v>
      </c>
      <c r="H9" s="619">
        <f>IF('Gårdens info'!G12&gt;0,(('Gårdens info'!D12*'Gårdens info'!G12*S10*T10)+('Gårdens info'!D12*'Gårdens info'!G12*S11*T11)+('Gårdens info'!D12*'Gårdens info'!G12*S12*T12)+('Gårdens info'!D12*'Gårdens info'!G12*S13*T13)+('Gårdens info'!D12*'Gårdens info'!G12*S14*T14)+('Gårdens info'!D12*'Gårdens info'!G12*S15*T15)+('Gårdens info'!D12*'Gårdens info'!G12*S16*T16)+('Gårdens info'!D12*'Gårdens info'!G12*S17*T17))/(('Gårdens info'!D12*'Gårdens info'!G12)),0)</f>
        <v>0.84</v>
      </c>
      <c r="I9" s="151" t="s">
        <v>6</v>
      </c>
      <c r="J9" s="290">
        <f>F9*'Gårdens info'!D12</f>
        <v>33600</v>
      </c>
      <c r="K9" s="151" t="s">
        <v>355</v>
      </c>
      <c r="L9" s="151"/>
      <c r="M9" s="287"/>
      <c r="N9" s="442"/>
      <c r="O9" s="943" t="s">
        <v>341</v>
      </c>
      <c r="P9" s="943"/>
      <c r="Q9" s="943"/>
      <c r="R9" s="443"/>
      <c r="S9" s="444" t="s">
        <v>339</v>
      </c>
      <c r="T9" s="967" t="s">
        <v>340</v>
      </c>
      <c r="U9" s="968"/>
    </row>
    <row r="10" spans="1:21" ht="15.6" thickBot="1" x14ac:dyDescent="0.3">
      <c r="B10" s="288"/>
      <c r="C10" s="151" t="s">
        <v>224</v>
      </c>
      <c r="D10" s="151"/>
      <c r="E10" s="151"/>
      <c r="F10" s="290">
        <f>IF('Gårdens info'!D12&gt;0,Stöd!J6/'Gårdens info'!D37*Stöd!L6+Stöd!J7/'Gårdens info'!D37*Stöd!L7+Stöd!J8/'Gårdens info'!D37*Stöd!L8+Stöd!J12/'Gårdens info'!D37*Stöd!L12+Stöd!J16/'Gårdens info'!D37*Stöd!L16+Stöd!J18/'Gårdens info'!D37*Stöd!L18+Stöd!J19/'Gårdens info'!D37*Stöd!L19+Stöd!J20/'Gårdens info'!D37*Stöd!L20+Stöd!J21/'Gårdens info'!D37*Stöd!L21,0)</f>
        <v>0</v>
      </c>
      <c r="G10" s="151" t="s">
        <v>14</v>
      </c>
      <c r="H10" s="619">
        <f>IF('Gårdens info'!G12&gt;0,F10/'Gårdens info'!G12,0)</f>
        <v>0</v>
      </c>
      <c r="I10" s="151" t="s">
        <v>6</v>
      </c>
      <c r="J10" s="290">
        <f>F10*'Gårdens info'!D12</f>
        <v>0</v>
      </c>
      <c r="K10" s="151" t="s">
        <v>355</v>
      </c>
      <c r="L10" s="151"/>
      <c r="M10" s="287"/>
      <c r="N10" s="442"/>
      <c r="O10" s="151">
        <v>1</v>
      </c>
      <c r="P10" s="151" t="s">
        <v>21</v>
      </c>
      <c r="Q10" s="151" t="s">
        <v>333</v>
      </c>
      <c r="R10" s="151"/>
      <c r="S10" s="452">
        <v>0</v>
      </c>
      <c r="T10" s="317"/>
      <c r="U10" s="300" t="s">
        <v>6</v>
      </c>
    </row>
    <row r="11" spans="1:21" s="8" customFormat="1" ht="21.6" customHeight="1" thickBot="1" x14ac:dyDescent="0.45">
      <c r="A11" s="369"/>
      <c r="B11" s="932" t="s">
        <v>240</v>
      </c>
      <c r="C11" s="933"/>
      <c r="D11" s="933"/>
      <c r="E11" s="324"/>
      <c r="F11" s="328">
        <f>F9+F10</f>
        <v>33600</v>
      </c>
      <c r="G11" s="329" t="s">
        <v>14</v>
      </c>
      <c r="H11" s="618">
        <f>H9+H10</f>
        <v>0.84</v>
      </c>
      <c r="I11" s="329" t="s">
        <v>6</v>
      </c>
      <c r="J11" s="331">
        <f>J9+J10</f>
        <v>33600</v>
      </c>
      <c r="K11" s="329" t="s">
        <v>355</v>
      </c>
      <c r="L11" s="329"/>
      <c r="M11" s="321"/>
      <c r="N11" s="445"/>
      <c r="O11" s="151">
        <v>0.25</v>
      </c>
      <c r="P11" s="151" t="s">
        <v>21</v>
      </c>
      <c r="Q11" s="151" t="s">
        <v>334</v>
      </c>
      <c r="R11" s="151"/>
      <c r="S11" s="454">
        <v>0</v>
      </c>
      <c r="T11" s="317"/>
      <c r="U11" s="300" t="s">
        <v>6</v>
      </c>
    </row>
    <row r="12" spans="1:21" s="8" customFormat="1" ht="21.6" thickBot="1" x14ac:dyDescent="0.45">
      <c r="A12" s="369"/>
      <c r="B12" s="832"/>
      <c r="C12" s="833"/>
      <c r="D12" s="833"/>
      <c r="E12" s="324"/>
      <c r="F12" s="328"/>
      <c r="G12" s="329"/>
      <c r="H12" s="330"/>
      <c r="I12" s="329"/>
      <c r="J12" s="331"/>
      <c r="K12" s="329"/>
      <c r="L12" s="329"/>
      <c r="M12" s="321"/>
      <c r="N12" s="445"/>
      <c r="O12" s="151">
        <v>0.5</v>
      </c>
      <c r="P12" s="151" t="s">
        <v>21</v>
      </c>
      <c r="Q12" s="151" t="s">
        <v>333</v>
      </c>
      <c r="R12" s="151"/>
      <c r="S12" s="454">
        <v>0.5</v>
      </c>
      <c r="T12" s="317">
        <v>0.86</v>
      </c>
      <c r="U12" s="300" t="s">
        <v>6</v>
      </c>
    </row>
    <row r="13" spans="1:21" ht="22.05" customHeight="1" thickBot="1" x14ac:dyDescent="0.35">
      <c r="B13" s="292"/>
      <c r="C13" s="286"/>
      <c r="D13" s="148"/>
      <c r="E13" s="148"/>
      <c r="F13" s="148"/>
      <c r="G13" s="148"/>
      <c r="H13" s="148"/>
      <c r="I13" s="148"/>
      <c r="J13" s="293"/>
      <c r="K13" s="148"/>
      <c r="L13" s="148"/>
      <c r="M13" s="287"/>
      <c r="N13" s="442"/>
      <c r="O13" s="151">
        <v>10</v>
      </c>
      <c r="P13" s="151" t="s">
        <v>21</v>
      </c>
      <c r="Q13" s="151" t="s">
        <v>335</v>
      </c>
      <c r="R13" s="151"/>
      <c r="S13" s="454">
        <v>0.5</v>
      </c>
      <c r="T13" s="317">
        <v>0.82</v>
      </c>
      <c r="U13" s="300" t="s">
        <v>6</v>
      </c>
    </row>
    <row r="14" spans="1:21" ht="21.6" thickBot="1" x14ac:dyDescent="0.45">
      <c r="B14" s="319" t="s">
        <v>241</v>
      </c>
      <c r="C14" s="286"/>
      <c r="D14" s="148"/>
      <c r="E14" s="148"/>
      <c r="F14" s="148"/>
      <c r="G14" s="148"/>
      <c r="H14" s="148"/>
      <c r="I14" s="148"/>
      <c r="J14" s="293"/>
      <c r="K14" s="148"/>
      <c r="L14" s="148"/>
      <c r="M14" s="287"/>
      <c r="N14" s="442"/>
      <c r="O14" s="317">
        <f>D113</f>
        <v>0</v>
      </c>
      <c r="P14" s="151" t="s">
        <v>21</v>
      </c>
      <c r="Q14" s="362" t="str">
        <f>C113</f>
        <v>förpackning X</v>
      </c>
      <c r="R14" s="151"/>
      <c r="S14" s="454">
        <v>0</v>
      </c>
      <c r="T14" s="317"/>
      <c r="U14" s="300" t="s">
        <v>6</v>
      </c>
    </row>
    <row r="15" spans="1:21" s="77" customFormat="1" ht="16.95" customHeight="1" thickBot="1" x14ac:dyDescent="0.35">
      <c r="A15" s="371"/>
      <c r="B15" s="602"/>
      <c r="C15" s="306"/>
      <c r="D15" s="310"/>
      <c r="E15" s="310"/>
      <c r="F15" s="311"/>
      <c r="G15" s="153"/>
      <c r="H15" s="310"/>
      <c r="I15" s="310"/>
      <c r="J15" s="310"/>
      <c r="K15" s="310"/>
      <c r="L15" s="310"/>
      <c r="M15" s="295"/>
      <c r="N15" s="442"/>
      <c r="O15" s="317">
        <f t="shared" ref="O15:O17" si="0">D114</f>
        <v>0</v>
      </c>
      <c r="P15" s="151" t="s">
        <v>21</v>
      </c>
      <c r="Q15" s="362" t="str">
        <f t="shared" ref="Q15:Q16" si="1">C114</f>
        <v>förpackning X</v>
      </c>
      <c r="R15" s="151"/>
      <c r="S15" s="454">
        <v>0</v>
      </c>
      <c r="T15" s="317"/>
      <c r="U15" s="300" t="s">
        <v>6</v>
      </c>
    </row>
    <row r="16" spans="1:21" s="91" customFormat="1" ht="15.6" thickBot="1" x14ac:dyDescent="0.3">
      <c r="A16" s="371"/>
      <c r="B16" s="602"/>
      <c r="C16" s="289" t="s">
        <v>243</v>
      </c>
      <c r="D16" s="297"/>
      <c r="E16" s="297"/>
      <c r="F16" s="308">
        <f>IF('Gårdens info'!D12&gt;0,J73,0)</f>
        <v>1430.0000000000002</v>
      </c>
      <c r="G16" s="151" t="s">
        <v>14</v>
      </c>
      <c r="H16" s="614">
        <f>IF('Gårdens info'!$G$12&gt;0,F16/'Gårdens info'!$G$12,0)</f>
        <v>3.5750000000000004E-2</v>
      </c>
      <c r="I16" s="151" t="s">
        <v>6</v>
      </c>
      <c r="J16" s="298">
        <f>F16*'Gårdens info'!$D$12</f>
        <v>1430.0000000000002</v>
      </c>
      <c r="K16" s="151" t="s">
        <v>355</v>
      </c>
      <c r="L16" s="297"/>
      <c r="M16" s="300"/>
      <c r="N16" s="288"/>
      <c r="O16" s="317">
        <f t="shared" si="0"/>
        <v>0</v>
      </c>
      <c r="P16" s="151" t="s">
        <v>21</v>
      </c>
      <c r="Q16" s="362" t="str">
        <f t="shared" si="1"/>
        <v>förpackning X</v>
      </c>
      <c r="R16" s="151"/>
      <c r="S16" s="454">
        <v>0</v>
      </c>
      <c r="T16" s="317"/>
      <c r="U16" s="300" t="s">
        <v>6</v>
      </c>
    </row>
    <row r="17" spans="1:29" s="91" customFormat="1" ht="15.6" thickBot="1" x14ac:dyDescent="0.3">
      <c r="A17" s="371"/>
      <c r="B17" s="296"/>
      <c r="C17" s="289" t="s">
        <v>244</v>
      </c>
      <c r="D17" s="297"/>
      <c r="E17" s="297"/>
      <c r="F17" s="298">
        <f>IF('Gårdens info'!D12&gt;0,J83,0)</f>
        <v>1288</v>
      </c>
      <c r="G17" s="151" t="s">
        <v>14</v>
      </c>
      <c r="H17" s="614">
        <f>IF('Gårdens info'!$G$12&gt;0,F17/'Gårdens info'!$G$12,0)</f>
        <v>3.2199999999999999E-2</v>
      </c>
      <c r="I17" s="151" t="s">
        <v>6</v>
      </c>
      <c r="J17" s="298">
        <f>F17*'Gårdens info'!$D$12</f>
        <v>1288</v>
      </c>
      <c r="K17" s="151" t="s">
        <v>355</v>
      </c>
      <c r="L17" s="297"/>
      <c r="M17" s="300"/>
      <c r="N17" s="442"/>
      <c r="O17" s="317">
        <f t="shared" si="0"/>
        <v>0</v>
      </c>
      <c r="P17" s="151" t="s">
        <v>21</v>
      </c>
      <c r="Q17" s="151" t="s">
        <v>49</v>
      </c>
      <c r="R17" s="151"/>
      <c r="S17" s="453">
        <v>0</v>
      </c>
      <c r="T17" s="317"/>
      <c r="U17" s="300" t="s">
        <v>6</v>
      </c>
    </row>
    <row r="18" spans="1:29" s="91" customFormat="1" ht="17.399999999999999" x14ac:dyDescent="0.3">
      <c r="A18" s="371"/>
      <c r="B18" s="296"/>
      <c r="C18" s="289" t="s">
        <v>245</v>
      </c>
      <c r="D18" s="297"/>
      <c r="E18" s="297"/>
      <c r="F18" s="298">
        <f>IF('Gårdens info'!D12&gt;0,J104,0)</f>
        <v>238.39349999999999</v>
      </c>
      <c r="G18" s="151" t="s">
        <v>14</v>
      </c>
      <c r="H18" s="614">
        <f>IF('Gårdens info'!$G$12&gt;0,F18/'Gårdens info'!$G$12,0)</f>
        <v>5.9598374999999997E-3</v>
      </c>
      <c r="I18" s="151" t="s">
        <v>6</v>
      </c>
      <c r="J18" s="298">
        <f>F18*'Gårdens info'!$D$12</f>
        <v>238.39349999999999</v>
      </c>
      <c r="K18" s="151" t="s">
        <v>355</v>
      </c>
      <c r="L18" s="297"/>
      <c r="M18" s="300"/>
      <c r="N18" s="446"/>
      <c r="O18" s="946" t="s">
        <v>196</v>
      </c>
      <c r="P18" s="946"/>
      <c r="Q18" s="946"/>
      <c r="R18" s="153"/>
      <c r="S18" s="450">
        <f>SUM(S10:S17)</f>
        <v>1</v>
      </c>
      <c r="T18" s="153"/>
      <c r="U18" s="295"/>
    </row>
    <row r="19" spans="1:29" s="91" customFormat="1" ht="15.6" x14ac:dyDescent="0.3">
      <c r="A19" s="371"/>
      <c r="B19" s="296"/>
      <c r="C19" s="289" t="s">
        <v>246</v>
      </c>
      <c r="D19" s="297"/>
      <c r="E19" s="297"/>
      <c r="F19" s="298">
        <f>IF('Gårdens info'!D12&gt;0,J117,0)</f>
        <v>1200</v>
      </c>
      <c r="G19" s="151" t="s">
        <v>14</v>
      </c>
      <c r="H19" s="614">
        <f>IF('Gårdens info'!$G$12&gt;0,F19/'Gårdens info'!$G$12,0)</f>
        <v>0.03</v>
      </c>
      <c r="I19" s="151" t="s">
        <v>6</v>
      </c>
      <c r="J19" s="298">
        <f>F19*'Gårdens info'!$D$12</f>
        <v>1200</v>
      </c>
      <c r="K19" s="151" t="s">
        <v>355</v>
      </c>
      <c r="L19" s="297"/>
      <c r="M19" s="300"/>
      <c r="N19" s="288"/>
      <c r="O19" s="451" t="str">
        <f>IF(S18=100%," ","HUOM! Osuus myyynneistä pitää summautua 100 prosenttiin")</f>
        <v xml:space="preserve"> </v>
      </c>
      <c r="P19" s="151"/>
      <c r="R19" s="151"/>
      <c r="S19" s="151"/>
      <c r="T19" s="151"/>
      <c r="U19" s="300"/>
    </row>
    <row r="20" spans="1:29" s="91" customFormat="1" ht="15.6" thickBot="1" x14ac:dyDescent="0.3">
      <c r="A20" s="371"/>
      <c r="B20" s="296"/>
      <c r="C20" s="289" t="s">
        <v>247</v>
      </c>
      <c r="D20" s="297"/>
      <c r="E20" s="297"/>
      <c r="F20" s="298">
        <f>IF('Gårdens info'!D12&gt;0,J125,0)</f>
        <v>640</v>
      </c>
      <c r="G20" s="151" t="s">
        <v>14</v>
      </c>
      <c r="H20" s="614">
        <f>IF('Gårdens info'!$G$12&gt;0,F20/'Gårdens info'!$G$12,0)</f>
        <v>1.6E-2</v>
      </c>
      <c r="I20" s="151" t="s">
        <v>6</v>
      </c>
      <c r="J20" s="298">
        <f>F20*'Gårdens info'!$D$12</f>
        <v>640</v>
      </c>
      <c r="K20" s="151" t="s">
        <v>355</v>
      </c>
      <c r="L20" s="297"/>
      <c r="M20" s="300"/>
      <c r="N20" s="447"/>
      <c r="O20" s="448"/>
      <c r="P20" s="448"/>
      <c r="Q20" s="448"/>
      <c r="R20" s="448"/>
      <c r="S20" s="448"/>
      <c r="T20" s="448"/>
      <c r="U20" s="449"/>
    </row>
    <row r="21" spans="1:29" s="91" customFormat="1" ht="15" x14ac:dyDescent="0.25">
      <c r="A21" s="371"/>
      <c r="B21" s="296"/>
      <c r="C21" s="289" t="s">
        <v>248</v>
      </c>
      <c r="D21" s="297"/>
      <c r="E21" s="297"/>
      <c r="F21" s="298">
        <f>IF('Gårdens info'!D12&gt;0,J133,0)</f>
        <v>0</v>
      </c>
      <c r="G21" s="151" t="s">
        <v>14</v>
      </c>
      <c r="H21" s="614">
        <f>IF('Gårdens info'!$G$12&gt;0,F21/'Gårdens info'!$G$12,0)</f>
        <v>0</v>
      </c>
      <c r="I21" s="151" t="s">
        <v>6</v>
      </c>
      <c r="J21" s="298">
        <f>F21*'Gårdens info'!$D$12</f>
        <v>0</v>
      </c>
      <c r="K21" s="151" t="s">
        <v>355</v>
      </c>
      <c r="L21" s="297"/>
      <c r="M21" s="300"/>
    </row>
    <row r="22" spans="1:29" s="91" customFormat="1" ht="15" x14ac:dyDescent="0.25">
      <c r="A22" s="371"/>
      <c r="B22" s="296"/>
      <c r="C22" s="289" t="s">
        <v>249</v>
      </c>
      <c r="D22" s="297"/>
      <c r="E22" s="297"/>
      <c r="F22" s="298">
        <f>IF('Gårdens info'!D12&gt;0,J145,0)</f>
        <v>2250.56</v>
      </c>
      <c r="G22" s="151" t="s">
        <v>14</v>
      </c>
      <c r="H22" s="614">
        <f>IF('Gårdens info'!$G$12&gt;0,F22/'Gårdens info'!$G$12,0)</f>
        <v>5.6264000000000002E-2</v>
      </c>
      <c r="I22" s="151" t="s">
        <v>6</v>
      </c>
      <c r="J22" s="298">
        <f>F22*'Gårdens info'!$D$12</f>
        <v>2250.56</v>
      </c>
      <c r="K22" s="151" t="s">
        <v>355</v>
      </c>
      <c r="L22" s="297"/>
      <c r="M22" s="300"/>
    </row>
    <row r="23" spans="1:29" s="91" customFormat="1" ht="15" x14ac:dyDescent="0.25">
      <c r="A23" s="371"/>
      <c r="B23" s="296"/>
      <c r="C23" s="289" t="s">
        <v>250</v>
      </c>
      <c r="D23" s="297"/>
      <c r="E23" s="297"/>
      <c r="F23" s="298">
        <f>IF('Gårdens info'!D12,L171,0)</f>
        <v>783</v>
      </c>
      <c r="G23" s="151" t="s">
        <v>14</v>
      </c>
      <c r="H23" s="614">
        <f>IF('Gårdens info'!$G$12&gt;0,F23/'Gårdens info'!$G$12,0)</f>
        <v>1.9574999999999999E-2</v>
      </c>
      <c r="I23" s="151" t="s">
        <v>6</v>
      </c>
      <c r="J23" s="298">
        <f>F23*'Gårdens info'!$D$12</f>
        <v>783</v>
      </c>
      <c r="K23" s="151" t="s">
        <v>355</v>
      </c>
      <c r="L23" s="297"/>
      <c r="M23" s="300"/>
    </row>
    <row r="24" spans="1:29" ht="15.6" x14ac:dyDescent="0.3">
      <c r="B24" s="312"/>
      <c r="C24" s="301" t="s">
        <v>196</v>
      </c>
      <c r="D24" s="302"/>
      <c r="E24" s="302"/>
      <c r="F24" s="303">
        <f>SUM(F16:F23)</f>
        <v>7829.9534999999996</v>
      </c>
      <c r="G24" s="304" t="s">
        <v>14</v>
      </c>
      <c r="H24" s="615">
        <f>SUM(H16:H23)</f>
        <v>0.19574883750000002</v>
      </c>
      <c r="I24" s="304" t="s">
        <v>6</v>
      </c>
      <c r="J24" s="303">
        <f>SUM(J16:J23)</f>
        <v>7829.9534999999996</v>
      </c>
      <c r="K24" s="304" t="s">
        <v>355</v>
      </c>
      <c r="L24" s="302"/>
      <c r="M24" s="313"/>
      <c r="N24" s="91"/>
      <c r="O24" s="91"/>
      <c r="P24" s="91"/>
      <c r="Q24" s="91"/>
      <c r="R24" s="91"/>
      <c r="S24" s="91"/>
      <c r="T24" s="91"/>
      <c r="U24" s="91"/>
      <c r="AA24" s="868"/>
      <c r="AB24" s="868"/>
      <c r="AC24" s="868"/>
    </row>
    <row r="25" spans="1:29" s="77" customFormat="1" ht="17.399999999999999" x14ac:dyDescent="0.3">
      <c r="A25" s="370"/>
      <c r="B25" s="292"/>
      <c r="C25" s="306"/>
      <c r="D25" s="307"/>
      <c r="E25" s="307"/>
      <c r="F25" s="308"/>
      <c r="G25" s="151"/>
      <c r="H25" s="307"/>
      <c r="I25" s="307"/>
      <c r="J25" s="307"/>
      <c r="K25" s="307"/>
      <c r="L25" s="307"/>
      <c r="M25" s="287"/>
      <c r="N25" s="91"/>
      <c r="O25" s="91"/>
      <c r="P25" s="91"/>
      <c r="R25" s="91"/>
      <c r="S25" s="91"/>
      <c r="T25" s="91"/>
      <c r="U25" s="91"/>
      <c r="AA25" s="858" t="s">
        <v>338</v>
      </c>
      <c r="AB25" s="878" t="s">
        <v>729</v>
      </c>
      <c r="AC25" s="859">
        <f>F16</f>
        <v>1430.0000000000002</v>
      </c>
    </row>
    <row r="26" spans="1:29" s="91" customFormat="1" ht="17.399999999999999" customHeight="1" x14ac:dyDescent="0.3">
      <c r="A26" s="371"/>
      <c r="B26" s="947" t="s">
        <v>352</v>
      </c>
      <c r="C26" s="948"/>
      <c r="D26" s="948"/>
      <c r="E26" s="948"/>
      <c r="F26" s="325">
        <f>IF('Gårdens info'!D12&gt;0,J26/'Gårdens info'!D12,0)</f>
        <v>414.81481481481484</v>
      </c>
      <c r="G26" s="304" t="s">
        <v>14</v>
      </c>
      <c r="H26" s="617">
        <f>IF('Gårdens info'!G12&gt;0,F26/'Gårdens info'!G12,0)</f>
        <v>1.0370370370370372E-2</v>
      </c>
      <c r="I26" s="304" t="s">
        <v>6</v>
      </c>
      <c r="J26" s="320">
        <f>'Gårdens info'!G147/'Gårdens info'!D37*'Gårdens info'!D12</f>
        <v>414.81481481481484</v>
      </c>
      <c r="K26" s="304" t="s">
        <v>355</v>
      </c>
      <c r="L26" s="327"/>
      <c r="M26" s="321"/>
      <c r="N26"/>
      <c r="O26"/>
      <c r="P26"/>
      <c r="S26"/>
      <c r="T26"/>
      <c r="U26"/>
      <c r="AA26" s="860" t="s">
        <v>338</v>
      </c>
      <c r="AB26" s="858" t="str">
        <f t="shared" ref="AB26:AB32" si="2">C17</f>
        <v>Gödsel och kalk</v>
      </c>
      <c r="AC26" s="859">
        <f t="shared" ref="AC26:AC32" si="3">F17</f>
        <v>1288</v>
      </c>
    </row>
    <row r="27" spans="1:29" s="91" customFormat="1" ht="17.399999999999999" customHeight="1" x14ac:dyDescent="0.3">
      <c r="A27" s="371"/>
      <c r="B27" s="949" t="s">
        <v>353</v>
      </c>
      <c r="C27" s="950"/>
      <c r="D27" s="950"/>
      <c r="E27" s="950"/>
      <c r="F27" s="325">
        <f>'Gårdens info'!$G$42*'Gårdens info'!$D$42/'Gårdens info'!$D$37*'Gårdens info'!D12</f>
        <v>44.444444444444443</v>
      </c>
      <c r="G27" s="304" t="s">
        <v>14</v>
      </c>
      <c r="H27" s="617">
        <f>IF('Gårdens info'!G12&gt;0,F27/'Gårdens info'!G12,0)</f>
        <v>1.1111111111111111E-3</v>
      </c>
      <c r="I27" s="304" t="s">
        <v>6</v>
      </c>
      <c r="J27" s="320">
        <f>F27*'Gårdens info'!D12</f>
        <v>44.444444444444443</v>
      </c>
      <c r="K27" s="304" t="s">
        <v>355</v>
      </c>
      <c r="L27" s="327"/>
      <c r="M27" s="321"/>
      <c r="N27" s="77"/>
      <c r="O27" s="77"/>
      <c r="P27" s="77"/>
      <c r="S27" s="77"/>
      <c r="T27" s="77"/>
      <c r="U27" s="77"/>
      <c r="AA27" s="858" t="s">
        <v>338</v>
      </c>
      <c r="AB27" s="858" t="str">
        <f t="shared" si="2"/>
        <v>IPM Växtskydd</v>
      </c>
      <c r="AC27" s="859">
        <f t="shared" si="3"/>
        <v>238.39349999999999</v>
      </c>
    </row>
    <row r="28" spans="1:29" s="91" customFormat="1" ht="21" customHeight="1" x14ac:dyDescent="0.4">
      <c r="A28" s="371"/>
      <c r="B28" s="932" t="s">
        <v>226</v>
      </c>
      <c r="C28" s="933"/>
      <c r="D28" s="933"/>
      <c r="E28" s="324"/>
      <c r="F28" s="328">
        <f>F24+F26+F27</f>
        <v>8289.2127592592606</v>
      </c>
      <c r="G28" s="329" t="s">
        <v>14</v>
      </c>
      <c r="H28" s="618">
        <f>H24+H26+H27</f>
        <v>0.2072303189814815</v>
      </c>
      <c r="I28" s="329" t="s">
        <v>6</v>
      </c>
      <c r="J28" s="331">
        <f>J24+J26+J27</f>
        <v>8289.2127592592606</v>
      </c>
      <c r="K28" s="329" t="s">
        <v>355</v>
      </c>
      <c r="L28" s="329"/>
      <c r="M28" s="321"/>
      <c r="AA28" s="858" t="s">
        <v>338</v>
      </c>
      <c r="AB28" s="858" t="str">
        <f t="shared" si="2"/>
        <v>Packningsmaterial</v>
      </c>
      <c r="AC28" s="859">
        <f t="shared" si="3"/>
        <v>1200</v>
      </c>
    </row>
    <row r="29" spans="1:29" s="91" customFormat="1" ht="21" x14ac:dyDescent="0.4">
      <c r="A29" s="371"/>
      <c r="B29" s="832"/>
      <c r="C29" s="833"/>
      <c r="D29" s="833"/>
      <c r="E29" s="324"/>
      <c r="F29" s="328"/>
      <c r="G29" s="329"/>
      <c r="H29" s="330"/>
      <c r="I29" s="329"/>
      <c r="J29" s="331"/>
      <c r="K29" s="329"/>
      <c r="L29" s="329"/>
      <c r="M29" s="321"/>
      <c r="AA29" s="858" t="s">
        <v>338</v>
      </c>
      <c r="AB29" s="858" t="str">
        <f t="shared" si="2"/>
        <v>Fraktkostnader</v>
      </c>
      <c r="AC29" s="859">
        <f t="shared" si="3"/>
        <v>640</v>
      </c>
    </row>
    <row r="30" spans="1:29" s="91" customFormat="1" ht="21" x14ac:dyDescent="0.4">
      <c r="A30" s="371"/>
      <c r="B30" s="319" t="s">
        <v>354</v>
      </c>
      <c r="C30" s="286"/>
      <c r="D30" s="148"/>
      <c r="E30" s="148"/>
      <c r="F30" s="148"/>
      <c r="G30" s="148"/>
      <c r="H30" s="148"/>
      <c r="I30" s="148"/>
      <c r="J30" s="293"/>
      <c r="K30" s="148"/>
      <c r="L30" s="148"/>
      <c r="M30" s="287"/>
      <c r="AA30" s="858" t="s">
        <v>338</v>
      </c>
      <c r="AB30" s="858" t="str">
        <f t="shared" si="2"/>
        <v>Maskinkostnader och entreprenad</v>
      </c>
      <c r="AC30" s="859">
        <f t="shared" si="3"/>
        <v>0</v>
      </c>
    </row>
    <row r="31" spans="1:29" s="91" customFormat="1" ht="21" customHeight="1" x14ac:dyDescent="0.4">
      <c r="A31" s="371"/>
      <c r="B31" s="947" t="s">
        <v>149</v>
      </c>
      <c r="C31" s="948"/>
      <c r="D31" s="833"/>
      <c r="E31" s="324"/>
      <c r="F31" s="328"/>
      <c r="G31" s="329"/>
      <c r="H31" s="330"/>
      <c r="I31" s="329"/>
      <c r="J31" s="331"/>
      <c r="K31" s="329"/>
      <c r="L31" s="329"/>
      <c r="M31" s="321"/>
      <c r="AA31" s="858" t="s">
        <v>338</v>
      </c>
      <c r="AB31" s="858" t="str">
        <f t="shared" si="2"/>
        <v>Energikostnader</v>
      </c>
      <c r="AC31" s="859">
        <f t="shared" si="3"/>
        <v>2250.56</v>
      </c>
    </row>
    <row r="32" spans="1:29" s="91" customFormat="1" ht="21" x14ac:dyDescent="0.4">
      <c r="A32" s="371"/>
      <c r="B32" s="350"/>
      <c r="C32" s="838" t="s">
        <v>264</v>
      </c>
      <c r="D32" s="833"/>
      <c r="E32" s="324"/>
      <c r="F32" s="338">
        <f>IF('Gårdens info'!$D$12&gt;0,J32/'Gårdens info'!$D$12,0)</f>
        <v>391.11111111111109</v>
      </c>
      <c r="G32" s="151" t="s">
        <v>14</v>
      </c>
      <c r="H32" s="613">
        <f>IF('Gårdens info'!$G$12&gt;0,F32/'Gårdens info'!$G$12,0)</f>
        <v>9.7777777777777776E-3</v>
      </c>
      <c r="I32" s="151" t="s">
        <v>6</v>
      </c>
      <c r="J32" s="298">
        <f>Ägendom!AK22</f>
        <v>391.11111111111109</v>
      </c>
      <c r="K32" s="151" t="s">
        <v>355</v>
      </c>
      <c r="L32" s="329"/>
      <c r="M32" s="321"/>
      <c r="AA32" s="858" t="s">
        <v>338</v>
      </c>
      <c r="AB32" s="858" t="str">
        <f t="shared" si="2"/>
        <v>Anställd arbetskraft</v>
      </c>
      <c r="AC32" s="859">
        <f t="shared" si="3"/>
        <v>783</v>
      </c>
    </row>
    <row r="33" spans="1:29" s="236" customFormat="1" ht="21" x14ac:dyDescent="0.4">
      <c r="A33" s="372"/>
      <c r="B33" s="350"/>
      <c r="C33" s="838" t="s">
        <v>265</v>
      </c>
      <c r="D33" s="833"/>
      <c r="E33" s="324"/>
      <c r="F33" s="338">
        <f>IF('Gårdens info'!$D$12&gt;0,J33/'Gårdens info'!$D$12,0)</f>
        <v>244.44444444444443</v>
      </c>
      <c r="G33" s="151" t="s">
        <v>14</v>
      </c>
      <c r="H33" s="613">
        <f>IF('Gårdens info'!$G$12&gt;0,F33/'Gårdens info'!$G$12,0)</f>
        <v>6.1111111111111106E-3</v>
      </c>
      <c r="I33" s="151" t="s">
        <v>6</v>
      </c>
      <c r="J33" s="298">
        <f>Ägendom!BG22</f>
        <v>244.44444444444443</v>
      </c>
      <c r="K33" s="151" t="s">
        <v>355</v>
      </c>
      <c r="L33" s="329"/>
      <c r="M33" s="321"/>
      <c r="N33" s="91"/>
      <c r="O33" s="91"/>
      <c r="P33" s="91"/>
      <c r="S33" s="91"/>
      <c r="T33" s="91"/>
      <c r="U33" s="91"/>
      <c r="AA33" s="880"/>
      <c r="AB33" s="860" t="s">
        <v>572</v>
      </c>
      <c r="AC33" s="860">
        <f>F26</f>
        <v>414.81481481481484</v>
      </c>
    </row>
    <row r="34" spans="1:29" ht="17.399999999999999" customHeight="1" x14ac:dyDescent="0.3">
      <c r="B34" s="350"/>
      <c r="C34" s="941" t="s">
        <v>266</v>
      </c>
      <c r="D34" s="941"/>
      <c r="E34" s="324"/>
      <c r="F34" s="338">
        <f>IF('Gårdens info'!$D$12&gt;0,J34/'Gårdens info'!$D$12,0)</f>
        <v>97.777777777777771</v>
      </c>
      <c r="G34" s="151" t="s">
        <v>14</v>
      </c>
      <c r="H34" s="613">
        <f>IF('Gårdens info'!$G$12&gt;0,F34/'Gårdens info'!$G$12,0)</f>
        <v>2.4444444444444444E-3</v>
      </c>
      <c r="I34" s="151" t="s">
        <v>6</v>
      </c>
      <c r="J34" s="298">
        <f>Ägendom!CC22</f>
        <v>97.777777777777771</v>
      </c>
      <c r="K34" s="151" t="s">
        <v>355</v>
      </c>
      <c r="L34" s="329"/>
      <c r="M34" s="321"/>
      <c r="N34" s="91"/>
      <c r="O34" s="91"/>
      <c r="P34" s="91"/>
      <c r="S34" s="91"/>
      <c r="T34" s="91"/>
      <c r="U34" s="91"/>
      <c r="AA34" s="880"/>
      <c r="AB34" s="858" t="s">
        <v>730</v>
      </c>
      <c r="AC34" s="860">
        <f>F27</f>
        <v>44.444444444444443</v>
      </c>
    </row>
    <row r="35" spans="1:29" ht="21" x14ac:dyDescent="0.4">
      <c r="B35" s="350"/>
      <c r="C35" s="838" t="s">
        <v>267</v>
      </c>
      <c r="D35" s="833"/>
      <c r="E35" s="324"/>
      <c r="F35" s="338">
        <f>IF('Gårdens info'!$D$12&gt;0,J35/'Gårdens info'!$D$12,0)</f>
        <v>19.555555555555554</v>
      </c>
      <c r="G35" s="151" t="s">
        <v>14</v>
      </c>
      <c r="H35" s="613">
        <f>IF('Gårdens info'!$G$12&gt;0,F35/'Gårdens info'!$G$12,0)</f>
        <v>4.8888888888888886E-4</v>
      </c>
      <c r="I35" s="151" t="s">
        <v>6</v>
      </c>
      <c r="J35" s="298">
        <f>Ägendom!CY22</f>
        <v>19.555555555555554</v>
      </c>
      <c r="K35" s="151" t="s">
        <v>355</v>
      </c>
      <c r="L35" s="329"/>
      <c r="M35" s="321"/>
      <c r="N35" s="236"/>
      <c r="O35" s="236"/>
      <c r="P35" s="236"/>
      <c r="S35" s="236"/>
      <c r="T35" s="236"/>
      <c r="U35" s="236"/>
      <c r="AA35" s="880"/>
      <c r="AB35" s="858" t="s">
        <v>576</v>
      </c>
      <c r="AC35" s="861">
        <f>F36</f>
        <v>752.8888888888888</v>
      </c>
    </row>
    <row r="36" spans="1:29" ht="20.399999999999999" x14ac:dyDescent="0.35">
      <c r="B36" s="352"/>
      <c r="C36" s="340" t="s">
        <v>196</v>
      </c>
      <c r="D36" s="341"/>
      <c r="E36" s="324"/>
      <c r="F36" s="342">
        <f>SUM(F32:F35)</f>
        <v>752.8888888888888</v>
      </c>
      <c r="G36" s="151" t="s">
        <v>14</v>
      </c>
      <c r="H36" s="620">
        <f t="shared" ref="H36:J36" si="4">SUM(H32:H35)</f>
        <v>1.8822222222222223E-2</v>
      </c>
      <c r="I36" s="151" t="s">
        <v>6</v>
      </c>
      <c r="J36" s="342">
        <f t="shared" si="4"/>
        <v>752.8888888888888</v>
      </c>
      <c r="K36" s="151" t="s">
        <v>355</v>
      </c>
      <c r="L36" s="343"/>
      <c r="M36" s="321"/>
      <c r="AA36" s="880"/>
      <c r="AB36" s="858" t="s">
        <v>577</v>
      </c>
      <c r="AC36" s="862">
        <f>F43</f>
        <v>7777.6012345679019</v>
      </c>
    </row>
    <row r="37" spans="1:29" s="91" customFormat="1" ht="21" x14ac:dyDescent="0.4">
      <c r="A37" s="371"/>
      <c r="B37" s="350"/>
      <c r="C37" s="838"/>
      <c r="D37" s="833"/>
      <c r="E37" s="324"/>
      <c r="F37" s="338"/>
      <c r="G37" s="151"/>
      <c r="H37" s="339"/>
      <c r="I37" s="151"/>
      <c r="J37" s="298"/>
      <c r="K37" s="151"/>
      <c r="L37" s="329"/>
      <c r="M37" s="321"/>
      <c r="N37"/>
      <c r="O37"/>
      <c r="P37"/>
      <c r="S37"/>
      <c r="T37"/>
      <c r="U37"/>
      <c r="AA37" s="880"/>
      <c r="AB37" s="858" t="s">
        <v>578</v>
      </c>
      <c r="AC37" s="862">
        <f>F50</f>
        <v>90.454047619047614</v>
      </c>
    </row>
    <row r="38" spans="1:29" s="91" customFormat="1" ht="17.399999999999999" customHeight="1" x14ac:dyDescent="0.3">
      <c r="A38" s="371"/>
      <c r="B38" s="947" t="s">
        <v>150</v>
      </c>
      <c r="C38" s="948"/>
      <c r="D38" s="948"/>
      <c r="E38" s="324"/>
      <c r="F38" s="338"/>
      <c r="G38" s="151"/>
      <c r="H38" s="339"/>
      <c r="I38" s="151"/>
      <c r="J38" s="298"/>
      <c r="K38" s="151"/>
      <c r="L38" s="329"/>
      <c r="M38" s="321"/>
      <c r="N38"/>
      <c r="O38"/>
      <c r="P38"/>
      <c r="S38"/>
      <c r="T38"/>
      <c r="U38"/>
      <c r="AA38" s="880"/>
      <c r="AB38" s="858" t="s">
        <v>162</v>
      </c>
      <c r="AC38" s="862">
        <f>F56</f>
        <v>22.222222222222221</v>
      </c>
    </row>
    <row r="39" spans="1:29" s="91" customFormat="1" ht="21" x14ac:dyDescent="0.4">
      <c r="A39" s="371"/>
      <c r="B39" s="350"/>
      <c r="C39" s="838" t="s">
        <v>264</v>
      </c>
      <c r="D39" s="833"/>
      <c r="E39" s="324"/>
      <c r="F39" s="338">
        <f>IF('Gårdens info'!$D$12&gt;0,J39/'Gårdens info'!$D$12,0)</f>
        <v>4150.8641975308647</v>
      </c>
      <c r="G39" s="151" t="s">
        <v>14</v>
      </c>
      <c r="H39" s="613">
        <f>IF('Gårdens info'!$G$12&gt;0,F39/'Gårdens info'!$G$12,0)</f>
        <v>0.10377160493827162</v>
      </c>
      <c r="I39" s="151" t="s">
        <v>6</v>
      </c>
      <c r="J39" s="298">
        <f>Ägendom!AK51</f>
        <v>4150.8641975308647</v>
      </c>
      <c r="K39" s="151" t="s">
        <v>355</v>
      </c>
      <c r="L39" s="329"/>
      <c r="M39" s="321"/>
      <c r="AA39" s="868"/>
      <c r="AB39" s="858" t="s">
        <v>727</v>
      </c>
      <c r="AC39" s="860">
        <f>F62</f>
        <v>1406.5</v>
      </c>
    </row>
    <row r="40" spans="1:29" s="8" customFormat="1" ht="21" x14ac:dyDescent="0.4">
      <c r="A40" s="369"/>
      <c r="B40" s="350"/>
      <c r="C40" s="838" t="s">
        <v>265</v>
      </c>
      <c r="D40" s="833"/>
      <c r="E40" s="324"/>
      <c r="F40" s="338">
        <f>IF('Gårdens info'!$D$12&gt;0,J40/'Gårdens info'!$D$12,0)</f>
        <v>1556.5740740740739</v>
      </c>
      <c r="G40" s="151" t="s">
        <v>14</v>
      </c>
      <c r="H40" s="613">
        <f>IF('Gårdens info'!$G$12&gt;0,F40/'Gårdens info'!$G$12,0)</f>
        <v>3.8914351851851846E-2</v>
      </c>
      <c r="I40" s="151" t="s">
        <v>6</v>
      </c>
      <c r="J40" s="298">
        <f>Ägendom!BG51</f>
        <v>1556.5740740740739</v>
      </c>
      <c r="K40" s="151" t="s">
        <v>355</v>
      </c>
      <c r="L40" s="329"/>
      <c r="M40" s="321"/>
      <c r="N40" s="91"/>
      <c r="O40" s="91"/>
      <c r="P40" s="91"/>
      <c r="Q40" s="91"/>
      <c r="R40" s="91"/>
      <c r="S40" s="91"/>
      <c r="T40" s="91"/>
      <c r="U40" s="91"/>
      <c r="AA40" s="880"/>
      <c r="AB40" s="880"/>
      <c r="AC40" s="880"/>
    </row>
    <row r="41" spans="1:29" s="8" customFormat="1" ht="17.399999999999999" customHeight="1" x14ac:dyDescent="0.3">
      <c r="A41" s="369"/>
      <c r="B41" s="350"/>
      <c r="C41" s="941" t="s">
        <v>266</v>
      </c>
      <c r="D41" s="941"/>
      <c r="E41" s="324"/>
      <c r="F41" s="338">
        <f>IF('Gårdens info'!$D$12&gt;0,J41/'Gårdens info'!$D$12,0)</f>
        <v>1940.7777777777781</v>
      </c>
      <c r="G41" s="151" t="s">
        <v>14</v>
      </c>
      <c r="H41" s="613">
        <f>IF('Gårdens info'!$G$12&gt;0,F41/'Gårdens info'!$G$12,0)</f>
        <v>4.8519444444444448E-2</v>
      </c>
      <c r="I41" s="151" t="s">
        <v>6</v>
      </c>
      <c r="J41" s="298">
        <f>Ägendom!CC51</f>
        <v>1940.7777777777781</v>
      </c>
      <c r="K41" s="151" t="s">
        <v>355</v>
      </c>
      <c r="L41" s="329"/>
      <c r="M41" s="321"/>
      <c r="N41" s="91"/>
      <c r="O41" s="91"/>
      <c r="P41" s="91"/>
      <c r="Q41" s="91"/>
      <c r="R41" s="91"/>
      <c r="S41" s="91"/>
      <c r="T41" s="91"/>
      <c r="U41" s="91"/>
      <c r="AA41" s="880"/>
      <c r="AB41" s="880"/>
      <c r="AC41" s="880"/>
    </row>
    <row r="42" spans="1:29" s="8" customFormat="1" ht="21" x14ac:dyDescent="0.4">
      <c r="A42" s="369"/>
      <c r="B42" s="350"/>
      <c r="C42" s="838" t="s">
        <v>267</v>
      </c>
      <c r="D42" s="833"/>
      <c r="E42" s="324"/>
      <c r="F42" s="338">
        <f>IF('Gårdens info'!$D$12&gt;0,J42/'Gårdens info'!$D$12,0)</f>
        <v>129.38518518518518</v>
      </c>
      <c r="G42" s="151" t="s">
        <v>14</v>
      </c>
      <c r="H42" s="613">
        <f>IF('Gårdens info'!$G$12&gt;0,F42/'Gårdens info'!$G$12,0)</f>
        <v>3.2346296296296294E-3</v>
      </c>
      <c r="I42" s="151" t="s">
        <v>6</v>
      </c>
      <c r="J42" s="298">
        <f>Ägendom!CY51</f>
        <v>129.38518518518518</v>
      </c>
      <c r="K42" s="151" t="s">
        <v>355</v>
      </c>
      <c r="L42" s="329"/>
      <c r="M42" s="321"/>
    </row>
    <row r="43" spans="1:29" s="8" customFormat="1" ht="20.399999999999999" x14ac:dyDescent="0.35">
      <c r="A43" s="369"/>
      <c r="B43" s="352"/>
      <c r="C43" s="340" t="s">
        <v>196</v>
      </c>
      <c r="D43" s="341"/>
      <c r="E43" s="324"/>
      <c r="F43" s="342">
        <f>SUM(F39:F42)</f>
        <v>7777.6012345679019</v>
      </c>
      <c r="G43" s="151" t="s">
        <v>14</v>
      </c>
      <c r="H43" s="620">
        <f t="shared" ref="H43:J43" si="5">SUM(H39:H42)</f>
        <v>0.19444003086419756</v>
      </c>
      <c r="I43" s="151" t="s">
        <v>6</v>
      </c>
      <c r="J43" s="342">
        <f t="shared" si="5"/>
        <v>7777.6012345679019</v>
      </c>
      <c r="K43" s="151" t="s">
        <v>355</v>
      </c>
      <c r="L43" s="343"/>
      <c r="M43" s="321"/>
    </row>
    <row r="44" spans="1:29" s="8" customFormat="1" ht="21" x14ac:dyDescent="0.4">
      <c r="A44" s="369"/>
      <c r="B44" s="350"/>
      <c r="C44" s="838"/>
      <c r="D44" s="833"/>
      <c r="E44" s="324"/>
      <c r="F44" s="338"/>
      <c r="G44" s="151"/>
      <c r="H44" s="339"/>
      <c r="I44" s="151"/>
      <c r="J44" s="298"/>
      <c r="K44" s="151"/>
      <c r="L44" s="329"/>
      <c r="M44" s="321"/>
    </row>
    <row r="45" spans="1:29" s="8" customFormat="1" ht="43.05" customHeight="1" x14ac:dyDescent="0.3">
      <c r="A45" s="369"/>
      <c r="B45" s="947" t="s">
        <v>151</v>
      </c>
      <c r="C45" s="948"/>
      <c r="D45" s="948"/>
      <c r="E45" s="324"/>
      <c r="F45" s="338"/>
      <c r="G45" s="151"/>
      <c r="H45" s="339"/>
      <c r="I45" s="151"/>
      <c r="J45" s="298"/>
      <c r="K45" s="151"/>
      <c r="L45" s="329"/>
      <c r="M45" s="321"/>
    </row>
    <row r="46" spans="1:29" ht="21" x14ac:dyDescent="0.4">
      <c r="B46" s="350"/>
      <c r="C46" s="838" t="s">
        <v>264</v>
      </c>
      <c r="D46" s="833"/>
      <c r="E46" s="324"/>
      <c r="F46" s="338">
        <f>IF('Gårdens info'!$D$12&gt;0,J46/'Gårdens info'!$D$12,0)</f>
        <v>48.452380952380949</v>
      </c>
      <c r="G46" s="151" t="s">
        <v>14</v>
      </c>
      <c r="H46" s="613">
        <f>IF('Gårdens info'!$G$12&gt;0,F46/'Gårdens info'!$G$12,0)</f>
        <v>1.2113095238095238E-3</v>
      </c>
      <c r="I46" s="151" t="s">
        <v>6</v>
      </c>
      <c r="J46" s="298">
        <f>Ägendom!AK76</f>
        <v>48.452380952380949</v>
      </c>
      <c r="K46" s="151" t="s">
        <v>355</v>
      </c>
      <c r="L46" s="329"/>
      <c r="M46" s="321"/>
      <c r="N46" s="8"/>
      <c r="O46" s="8"/>
      <c r="P46" s="8"/>
      <c r="Q46" s="8"/>
      <c r="R46" s="8"/>
      <c r="S46" s="8"/>
      <c r="T46" s="8"/>
      <c r="U46" s="8"/>
    </row>
    <row r="47" spans="1:29" s="8" customFormat="1" ht="21" x14ac:dyDescent="0.4">
      <c r="A47" s="369"/>
      <c r="B47" s="350"/>
      <c r="C47" s="838" t="s">
        <v>265</v>
      </c>
      <c r="D47" s="833"/>
      <c r="E47" s="324"/>
      <c r="F47" s="338">
        <f>IF('Gårdens info'!$D$12&gt;0,J47/'Gårdens info'!$D$12,0)</f>
        <v>4.9702380952380949</v>
      </c>
      <c r="G47" s="151" t="s">
        <v>14</v>
      </c>
      <c r="H47" s="613">
        <f>IF('Gårdens info'!$G$12&gt;0,F47/'Gårdens info'!$G$12,0)</f>
        <v>1.2425595238095238E-4</v>
      </c>
      <c r="I47" s="151" t="s">
        <v>6</v>
      </c>
      <c r="J47" s="298">
        <f>Ägendom!BG76</f>
        <v>4.9702380952380949</v>
      </c>
      <c r="K47" s="151" t="s">
        <v>355</v>
      </c>
      <c r="L47" s="329"/>
      <c r="M47" s="321"/>
    </row>
    <row r="48" spans="1:29" s="8" customFormat="1" ht="17.399999999999999" customHeight="1" x14ac:dyDescent="0.3">
      <c r="A48" s="369"/>
      <c r="B48" s="350"/>
      <c r="C48" s="941" t="s">
        <v>266</v>
      </c>
      <c r="D48" s="941"/>
      <c r="E48" s="324"/>
      <c r="F48" s="338">
        <f>IF('Gårdens info'!$D$12&gt;0,J48/'Gårdens info'!$D$12,0)</f>
        <v>35.607142857142847</v>
      </c>
      <c r="G48" s="151" t="s">
        <v>14</v>
      </c>
      <c r="H48" s="613">
        <f>IF('Gårdens info'!$G$12&gt;0,F48/'Gårdens info'!$G$12,0)</f>
        <v>8.9017857142857117E-4</v>
      </c>
      <c r="I48" s="151" t="s">
        <v>6</v>
      </c>
      <c r="J48" s="298">
        <f>Ägendom!CC76</f>
        <v>35.607142857142847</v>
      </c>
      <c r="K48" s="151" t="s">
        <v>355</v>
      </c>
      <c r="L48" s="329"/>
      <c r="M48" s="321"/>
      <c r="N48"/>
      <c r="O48"/>
      <c r="P48"/>
      <c r="Q48"/>
      <c r="R48"/>
      <c r="S48"/>
      <c r="T48"/>
      <c r="U48"/>
    </row>
    <row r="49" spans="1:13" s="8" customFormat="1" ht="21" x14ac:dyDescent="0.4">
      <c r="A49" s="369"/>
      <c r="B49" s="350"/>
      <c r="C49" s="838" t="s">
        <v>267</v>
      </c>
      <c r="D49" s="833"/>
      <c r="E49" s="324"/>
      <c r="F49" s="338">
        <f>IF('Gårdens info'!$D$12&gt;0,J49/'Gårdens info'!$D$12,0)</f>
        <v>1.4242857142857142</v>
      </c>
      <c r="G49" s="151" t="s">
        <v>14</v>
      </c>
      <c r="H49" s="613">
        <f>IF('Gårdens info'!$G$12&gt;0,F49/'Gårdens info'!$G$12,0)</f>
        <v>3.5607142857142856E-5</v>
      </c>
      <c r="I49" s="151" t="s">
        <v>6</v>
      </c>
      <c r="J49" s="298">
        <f>Ägendom!CY76</f>
        <v>1.4242857142857142</v>
      </c>
      <c r="K49" s="151" t="s">
        <v>355</v>
      </c>
      <c r="L49" s="329"/>
      <c r="M49" s="321"/>
    </row>
    <row r="50" spans="1:13" s="8" customFormat="1" ht="20.399999999999999" x14ac:dyDescent="0.35">
      <c r="A50" s="369"/>
      <c r="B50" s="352"/>
      <c r="C50" s="340" t="s">
        <v>196</v>
      </c>
      <c r="D50" s="341"/>
      <c r="E50" s="324"/>
      <c r="F50" s="342">
        <f>SUM(F46:F49)</f>
        <v>90.454047619047614</v>
      </c>
      <c r="G50" s="151" t="s">
        <v>14</v>
      </c>
      <c r="H50" s="620">
        <f t="shared" ref="H50:J50" si="6">SUM(H46:H49)</f>
        <v>2.2613511904761899E-3</v>
      </c>
      <c r="I50" s="151" t="s">
        <v>6</v>
      </c>
      <c r="J50" s="342">
        <f t="shared" si="6"/>
        <v>90.454047619047614</v>
      </c>
      <c r="K50" s="151" t="s">
        <v>355</v>
      </c>
      <c r="L50" s="343"/>
      <c r="M50" s="321"/>
    </row>
    <row r="51" spans="1:13" s="8" customFormat="1" ht="21" x14ac:dyDescent="0.4">
      <c r="A51" s="369"/>
      <c r="B51" s="350"/>
      <c r="C51" s="838"/>
      <c r="D51" s="833"/>
      <c r="E51" s="324"/>
      <c r="F51" s="338"/>
      <c r="G51" s="151"/>
      <c r="H51" s="339"/>
      <c r="I51" s="151"/>
      <c r="J51" s="298"/>
      <c r="K51" s="151"/>
      <c r="L51" s="329"/>
      <c r="M51" s="321"/>
    </row>
    <row r="52" spans="1:13" s="8" customFormat="1" ht="21" customHeight="1" x14ac:dyDescent="0.4">
      <c r="A52" s="369"/>
      <c r="B52" s="951" t="s">
        <v>160</v>
      </c>
      <c r="C52" s="952"/>
      <c r="D52" s="833"/>
      <c r="E52" s="324"/>
      <c r="F52" s="338"/>
      <c r="G52" s="151"/>
      <c r="H52" s="339"/>
      <c r="I52" s="151"/>
      <c r="J52" s="298"/>
      <c r="K52" s="151"/>
      <c r="L52" s="329"/>
      <c r="M52" s="321"/>
    </row>
    <row r="53" spans="1:13" s="8" customFormat="1" ht="21" x14ac:dyDescent="0.4">
      <c r="A53" s="369"/>
      <c r="B53" s="350"/>
      <c r="C53" s="838" t="s">
        <v>264</v>
      </c>
      <c r="D53" s="833"/>
      <c r="E53" s="324"/>
      <c r="F53" s="338">
        <f>IF('Gårdens info'!$D$12&gt;0,J53/'Gårdens info'!$D$12,0)</f>
        <v>0</v>
      </c>
      <c r="G53" s="151" t="s">
        <v>14</v>
      </c>
      <c r="H53" s="613">
        <f>IF('Gårdens info'!$G$12&gt;0,F53/'Gårdens info'!$G$12,0)</f>
        <v>0</v>
      </c>
      <c r="I53" s="151" t="s">
        <v>6</v>
      </c>
      <c r="J53" s="298">
        <f>Ägendom!AK79</f>
        <v>0</v>
      </c>
      <c r="K53" s="151" t="s">
        <v>355</v>
      </c>
      <c r="L53" s="329"/>
      <c r="M53" s="321"/>
    </row>
    <row r="54" spans="1:13" s="8" customFormat="1" ht="19.95" customHeight="1" x14ac:dyDescent="0.4">
      <c r="A54" s="369"/>
      <c r="B54" s="350"/>
      <c r="C54" s="838" t="s">
        <v>265</v>
      </c>
      <c r="D54" s="833"/>
      <c r="E54" s="324"/>
      <c r="F54" s="338">
        <f>IF('Gårdens info'!$D$12&gt;0,J54/'Gårdens info'!$D$12,0)</f>
        <v>0</v>
      </c>
      <c r="G54" s="151" t="s">
        <v>14</v>
      </c>
      <c r="H54" s="613">
        <f>IF('Gårdens info'!$G$12&gt;0,F54/'Gårdens info'!$G$12,0)</f>
        <v>0</v>
      </c>
      <c r="I54" s="151" t="s">
        <v>6</v>
      </c>
      <c r="J54" s="298">
        <f>Ägendom!BG79</f>
        <v>0</v>
      </c>
      <c r="K54" s="151" t="s">
        <v>355</v>
      </c>
      <c r="L54" s="329"/>
      <c r="M54" s="321"/>
    </row>
    <row r="55" spans="1:13" s="8" customFormat="1" ht="17.399999999999999" customHeight="1" x14ac:dyDescent="0.3">
      <c r="A55" s="369"/>
      <c r="B55" s="350"/>
      <c r="C55" s="941" t="s">
        <v>266</v>
      </c>
      <c r="D55" s="941"/>
      <c r="E55" s="324"/>
      <c r="F55" s="338">
        <f>IF('Gårdens info'!$D$12&gt;0,J55/'Gårdens info'!$D$12,0)</f>
        <v>22.222222222222221</v>
      </c>
      <c r="G55" s="151" t="s">
        <v>14</v>
      </c>
      <c r="H55" s="613">
        <f>IF('Gårdens info'!$G$12&gt;0,F55/'Gårdens info'!$G$12,0)</f>
        <v>5.5555555555555556E-4</v>
      </c>
      <c r="I55" s="151" t="s">
        <v>6</v>
      </c>
      <c r="J55" s="298">
        <f>Ägendom!CC79</f>
        <v>22.222222222222221</v>
      </c>
      <c r="K55" s="151" t="s">
        <v>355</v>
      </c>
      <c r="L55" s="329"/>
      <c r="M55" s="321"/>
    </row>
    <row r="56" spans="1:13" s="8" customFormat="1" ht="15.6" x14ac:dyDescent="0.3">
      <c r="A56" s="369"/>
      <c r="B56" s="349"/>
      <c r="C56" s="323" t="s">
        <v>196</v>
      </c>
      <c r="D56" s="323"/>
      <c r="E56" s="323"/>
      <c r="F56" s="342">
        <f>SUM(F53:F55)</f>
        <v>22.222222222222221</v>
      </c>
      <c r="G56" s="151" t="s">
        <v>14</v>
      </c>
      <c r="H56" s="620">
        <f t="shared" ref="H56:J56" si="7">SUM(H53:H55)</f>
        <v>5.5555555555555556E-4</v>
      </c>
      <c r="I56" s="151" t="s">
        <v>6</v>
      </c>
      <c r="J56" s="342">
        <f t="shared" si="7"/>
        <v>22.222222222222221</v>
      </c>
      <c r="K56" s="151" t="s">
        <v>355</v>
      </c>
      <c r="L56" s="347"/>
      <c r="M56" s="353"/>
    </row>
    <row r="57" spans="1:13" s="8" customFormat="1" ht="21" customHeight="1" x14ac:dyDescent="0.4">
      <c r="A57" s="369"/>
      <c r="B57" s="932" t="s">
        <v>229</v>
      </c>
      <c r="C57" s="933"/>
      <c r="D57" s="933"/>
      <c r="E57" s="324"/>
      <c r="F57" s="328">
        <f>F36+F43+F50+F56</f>
        <v>8643.1663932980609</v>
      </c>
      <c r="G57" s="329" t="s">
        <v>14</v>
      </c>
      <c r="H57" s="618">
        <f>H36+H43+H50+H56</f>
        <v>0.21607915983245152</v>
      </c>
      <c r="I57" s="329" t="s">
        <v>6</v>
      </c>
      <c r="J57" s="331">
        <f>J36+J43+J50+J56</f>
        <v>8643.1663932980609</v>
      </c>
      <c r="K57" s="329" t="s">
        <v>355</v>
      </c>
      <c r="L57" s="329"/>
      <c r="M57" s="321"/>
    </row>
    <row r="58" spans="1:13" s="8" customFormat="1" ht="15.6" x14ac:dyDescent="0.3">
      <c r="A58" s="369"/>
      <c r="B58" s="349"/>
      <c r="C58" s="324"/>
      <c r="D58" s="324"/>
      <c r="E58" s="324"/>
      <c r="F58" s="325"/>
      <c r="G58" s="304"/>
      <c r="H58" s="326"/>
      <c r="I58" s="304"/>
      <c r="J58" s="320"/>
      <c r="K58" s="304"/>
      <c r="L58" s="327"/>
      <c r="M58" s="321"/>
    </row>
    <row r="59" spans="1:13" s="8" customFormat="1" ht="21" x14ac:dyDescent="0.4">
      <c r="A59" s="369"/>
      <c r="B59" s="319" t="s">
        <v>230</v>
      </c>
      <c r="C59" s="324"/>
      <c r="D59" s="324"/>
      <c r="E59" s="324"/>
      <c r="F59" s="325"/>
      <c r="G59" s="304"/>
      <c r="H59" s="326"/>
      <c r="I59" s="304"/>
      <c r="J59" s="320"/>
      <c r="K59" s="304"/>
      <c r="L59" s="327"/>
      <c r="M59" s="321"/>
    </row>
    <row r="60" spans="1:13" s="8" customFormat="1" ht="15" x14ac:dyDescent="0.25">
      <c r="A60" s="369"/>
      <c r="B60" s="296"/>
      <c r="C60" s="289" t="s">
        <v>230</v>
      </c>
      <c r="D60" s="297"/>
      <c r="E60" s="297"/>
      <c r="F60" s="298">
        <f>IF('Gårdens info'!D12&gt;0,H171,0)</f>
        <v>1406.5</v>
      </c>
      <c r="G60" s="151" t="s">
        <v>14</v>
      </c>
      <c r="H60" s="614">
        <f>IF('Gårdens info'!G12&gt;0,F60/'Gårdens info'!$G$12,0)</f>
        <v>3.5162499999999999E-2</v>
      </c>
      <c r="I60" s="151" t="s">
        <v>6</v>
      </c>
      <c r="J60" s="298">
        <f>F60*'Gårdens info'!D12</f>
        <v>1406.5</v>
      </c>
      <c r="K60" s="151" t="s">
        <v>355</v>
      </c>
      <c r="L60" s="297"/>
      <c r="M60" s="300"/>
    </row>
    <row r="61" spans="1:13" s="8" customFormat="1" ht="17.399999999999999" x14ac:dyDescent="0.3">
      <c r="A61" s="369"/>
      <c r="B61" s="841"/>
      <c r="C61" s="306"/>
      <c r="D61" s="310"/>
      <c r="E61" s="310"/>
      <c r="F61" s="311"/>
      <c r="G61" s="153"/>
      <c r="H61" s="310"/>
      <c r="I61" s="310"/>
      <c r="J61" s="310"/>
      <c r="K61" s="310"/>
      <c r="L61" s="310"/>
      <c r="M61" s="295"/>
    </row>
    <row r="62" spans="1:13" s="8" customFormat="1" ht="21" customHeight="1" x14ac:dyDescent="0.4">
      <c r="A62" s="369"/>
      <c r="B62" s="932" t="s">
        <v>231</v>
      </c>
      <c r="C62" s="933"/>
      <c r="D62" s="933"/>
      <c r="E62" s="324"/>
      <c r="F62" s="328">
        <f>F60</f>
        <v>1406.5</v>
      </c>
      <c r="G62" s="329" t="s">
        <v>14</v>
      </c>
      <c r="H62" s="618">
        <f>H60</f>
        <v>3.5162499999999999E-2</v>
      </c>
      <c r="I62" s="329" t="s">
        <v>6</v>
      </c>
      <c r="J62" s="331">
        <f>J60</f>
        <v>1406.5</v>
      </c>
      <c r="K62" s="329" t="s">
        <v>355</v>
      </c>
      <c r="L62" s="329"/>
      <c r="M62" s="321"/>
    </row>
    <row r="63" spans="1:13" s="8" customFormat="1" ht="21" x14ac:dyDescent="0.4">
      <c r="A63" s="369"/>
      <c r="B63" s="832"/>
      <c r="C63" s="833"/>
      <c r="D63" s="833"/>
      <c r="E63" s="324"/>
      <c r="F63" s="328"/>
      <c r="G63" s="329"/>
      <c r="H63" s="618"/>
      <c r="I63" s="329"/>
      <c r="J63" s="331"/>
      <c r="K63" s="329"/>
      <c r="L63" s="329"/>
      <c r="M63" s="321"/>
    </row>
    <row r="64" spans="1:13" s="8" customFormat="1" ht="21" customHeight="1" x14ac:dyDescent="0.4">
      <c r="A64" s="369"/>
      <c r="B64" s="932" t="s">
        <v>268</v>
      </c>
      <c r="C64" s="933"/>
      <c r="D64" s="933"/>
      <c r="E64" s="324"/>
      <c r="F64" s="328">
        <f>F28+F57+F62</f>
        <v>18338.879152557322</v>
      </c>
      <c r="G64" s="329" t="s">
        <v>14</v>
      </c>
      <c r="H64" s="705">
        <f>H28+H57+H62</f>
        <v>0.45847197881393298</v>
      </c>
      <c r="I64" s="329" t="s">
        <v>6</v>
      </c>
      <c r="J64" s="328">
        <f>J28+J57+J62</f>
        <v>18338.879152557322</v>
      </c>
      <c r="K64" s="329" t="s">
        <v>355</v>
      </c>
      <c r="L64" s="329"/>
      <c r="M64" s="321"/>
    </row>
    <row r="65" spans="1:21" s="8" customFormat="1" ht="21" customHeight="1" x14ac:dyDescent="0.4">
      <c r="A65" s="369"/>
      <c r="B65" s="832"/>
      <c r="C65" s="833"/>
      <c r="D65" s="833"/>
      <c r="E65" s="324"/>
      <c r="F65" s="328"/>
      <c r="G65" s="329"/>
      <c r="H65" s="330"/>
      <c r="I65" s="329"/>
      <c r="J65" s="331"/>
      <c r="K65" s="329"/>
      <c r="L65" s="329"/>
      <c r="M65" s="321"/>
    </row>
    <row r="66" spans="1:21" s="8" customFormat="1" ht="21.6" customHeight="1" thickBot="1" x14ac:dyDescent="0.45">
      <c r="A66" s="369"/>
      <c r="B66" s="936" t="s">
        <v>269</v>
      </c>
      <c r="C66" s="937"/>
      <c r="D66" s="937"/>
      <c r="E66" s="315"/>
      <c r="F66" s="355">
        <f>F11-F28-F57-F62</f>
        <v>15261.120847442682</v>
      </c>
      <c r="G66" s="356" t="s">
        <v>14</v>
      </c>
      <c r="H66" s="621">
        <f>H11-H28-H57-H62</f>
        <v>0.38152802118606699</v>
      </c>
      <c r="I66" s="356" t="s">
        <v>6</v>
      </c>
      <c r="J66" s="355">
        <f>J11-J28-J57-J62</f>
        <v>15261.120847442682</v>
      </c>
      <c r="K66" s="356" t="s">
        <v>355</v>
      </c>
      <c r="L66" s="356"/>
      <c r="M66" s="316"/>
    </row>
    <row r="67" spans="1:21" s="8" customFormat="1" ht="21" x14ac:dyDescent="0.4">
      <c r="A67" s="369"/>
      <c r="B67" s="76"/>
      <c r="C67"/>
      <c r="D67"/>
      <c r="E67"/>
      <c r="F67"/>
      <c r="G67"/>
      <c r="H67"/>
      <c r="I67"/>
      <c r="J67"/>
      <c r="K67"/>
      <c r="L67"/>
      <c r="M67"/>
    </row>
    <row r="68" spans="1:21" s="239" customFormat="1" ht="16.2" thickBot="1" x14ac:dyDescent="0.35">
      <c r="A68" s="373"/>
      <c r="B68"/>
      <c r="C68"/>
      <c r="D68"/>
      <c r="E68"/>
      <c r="F68"/>
      <c r="G68"/>
      <c r="H68"/>
      <c r="I68"/>
      <c r="J68"/>
      <c r="K68"/>
      <c r="L68"/>
      <c r="M68"/>
      <c r="N68" s="8"/>
      <c r="O68" s="8"/>
      <c r="P68" s="8"/>
      <c r="Q68" s="8"/>
      <c r="R68" s="8"/>
      <c r="S68" s="8"/>
      <c r="T68" s="8"/>
      <c r="U68" s="8"/>
    </row>
    <row r="69" spans="1:21" s="8" customFormat="1" ht="21.6" thickBot="1" x14ac:dyDescent="0.45">
      <c r="A69" s="369"/>
      <c r="B69" s="953" t="s">
        <v>270</v>
      </c>
      <c r="C69" s="954"/>
      <c r="D69" s="954"/>
      <c r="E69" s="955"/>
      <c r="F69"/>
      <c r="G69"/>
      <c r="H69"/>
      <c r="I69"/>
      <c r="J69"/>
      <c r="K69"/>
      <c r="L69" s="956" t="s">
        <v>271</v>
      </c>
      <c r="M69" s="956"/>
    </row>
    <row r="70" spans="1:21" s="8" customFormat="1" ht="21" x14ac:dyDescent="0.4">
      <c r="A70" s="369"/>
      <c r="B70" s="401"/>
      <c r="C70" s="401"/>
      <c r="D70" s="401"/>
      <c r="E70" s="401"/>
      <c r="F70" s="534"/>
      <c r="G70" s="534"/>
      <c r="H70" s="534"/>
      <c r="I70" s="534"/>
      <c r="J70" s="534"/>
      <c r="K70" s="534"/>
      <c r="L70" s="564"/>
      <c r="M70" s="564"/>
    </row>
    <row r="71" spans="1:21" ht="15.6" x14ac:dyDescent="0.3">
      <c r="B71" s="113" t="s">
        <v>356</v>
      </c>
      <c r="C71" s="65"/>
      <c r="D71" s="65"/>
      <c r="E71" s="65"/>
      <c r="F71" s="959" t="s">
        <v>159</v>
      </c>
      <c r="G71" s="959"/>
      <c r="H71" s="959" t="s">
        <v>158</v>
      </c>
      <c r="I71" s="959"/>
      <c r="J71" s="959" t="s">
        <v>273</v>
      </c>
      <c r="K71" s="959"/>
      <c r="L71" s="143" t="s">
        <v>274</v>
      </c>
      <c r="M71" s="67"/>
    </row>
    <row r="72" spans="1:21" ht="13.8" thickBot="1" x14ac:dyDescent="0.3">
      <c r="B72" s="69"/>
      <c r="C72" s="65"/>
      <c r="D72" s="65"/>
      <c r="E72" s="65"/>
      <c r="F72" s="65"/>
      <c r="G72" s="65"/>
      <c r="H72" s="65"/>
      <c r="I72" s="65"/>
      <c r="J72" s="67"/>
      <c r="K72" s="67"/>
      <c r="L72" s="67"/>
      <c r="M72" s="67"/>
    </row>
    <row r="73" spans="1:21" ht="13.8" thickBot="1" x14ac:dyDescent="0.3">
      <c r="B73" s="65"/>
      <c r="C73" s="66" t="s">
        <v>328</v>
      </c>
      <c r="D73" s="67"/>
      <c r="E73" s="65"/>
      <c r="F73" s="96">
        <v>1300</v>
      </c>
      <c r="G73" s="65" t="s">
        <v>21</v>
      </c>
      <c r="H73" s="99">
        <v>1.1000000000000001</v>
      </c>
      <c r="I73" s="70" t="s">
        <v>6</v>
      </c>
      <c r="J73" s="235">
        <f>F73*H73</f>
        <v>1430.0000000000002</v>
      </c>
      <c r="K73" s="65" t="s">
        <v>14</v>
      </c>
      <c r="L73" s="65"/>
      <c r="M73" s="67"/>
    </row>
    <row r="74" spans="1:21" s="8" customFormat="1" x14ac:dyDescent="0.25">
      <c r="A74" s="369"/>
      <c r="B74" s="71"/>
      <c r="C74" s="71" t="s">
        <v>196</v>
      </c>
      <c r="D74" s="572"/>
      <c r="E74" s="71"/>
      <c r="F74" s="277"/>
      <c r="G74" s="573"/>
      <c r="H74" s="574"/>
      <c r="I74" s="279"/>
      <c r="J74" s="280"/>
      <c r="K74" s="71"/>
      <c r="L74" s="71"/>
      <c r="M74" s="71"/>
    </row>
    <row r="75" spans="1:21" x14ac:dyDescent="0.25">
      <c r="B75" s="535"/>
      <c r="C75" s="535"/>
      <c r="D75" s="569"/>
      <c r="E75" s="535"/>
      <c r="F75" s="570"/>
      <c r="G75" s="535"/>
      <c r="H75" s="307"/>
      <c r="I75" s="537"/>
      <c r="J75" s="571"/>
      <c r="K75" s="535"/>
      <c r="L75" s="534"/>
      <c r="M75" s="534"/>
    </row>
    <row r="76" spans="1:21" s="8" customFormat="1" ht="15.6" x14ac:dyDescent="0.3">
      <c r="A76" s="369"/>
      <c r="B76" s="120" t="s">
        <v>275</v>
      </c>
      <c r="C76" s="121"/>
      <c r="D76" s="121"/>
      <c r="E76" s="121"/>
      <c r="F76" s="960" t="s">
        <v>159</v>
      </c>
      <c r="G76" s="960"/>
      <c r="H76" s="960" t="s">
        <v>158</v>
      </c>
      <c r="I76" s="960"/>
      <c r="J76" s="960" t="s">
        <v>273</v>
      </c>
      <c r="K76" s="960"/>
      <c r="L76" s="123"/>
      <c r="M76" s="123"/>
    </row>
    <row r="77" spans="1:21" s="77" customFormat="1" ht="18" thickBot="1" x14ac:dyDescent="0.35">
      <c r="A77" s="370"/>
      <c r="B77" s="121"/>
      <c r="C77" s="121"/>
      <c r="D77" s="121"/>
      <c r="E77" s="121"/>
      <c r="F77" s="121"/>
      <c r="G77" s="121"/>
      <c r="H77" s="122"/>
      <c r="I77" s="122"/>
      <c r="J77" s="123"/>
      <c r="K77" s="123"/>
      <c r="L77" s="123"/>
      <c r="M77" s="123"/>
      <c r="N77" s="8"/>
      <c r="O77" s="8"/>
      <c r="P77" s="8"/>
      <c r="Q77" s="8"/>
      <c r="R77" s="8"/>
      <c r="S77" s="8"/>
      <c r="T77" s="8"/>
      <c r="U77" s="8"/>
    </row>
    <row r="78" spans="1:21" s="91" customFormat="1" ht="15.6" thickBot="1" x14ac:dyDescent="0.3">
      <c r="A78" s="371"/>
      <c r="B78" s="121"/>
      <c r="C78" s="121" t="s">
        <v>276</v>
      </c>
      <c r="D78" s="123"/>
      <c r="E78" s="121"/>
      <c r="F78" s="118">
        <v>800</v>
      </c>
      <c r="G78" s="121" t="s">
        <v>21</v>
      </c>
      <c r="H78" s="99">
        <v>0.75</v>
      </c>
      <c r="I78" s="122" t="s">
        <v>6</v>
      </c>
      <c r="J78" s="124">
        <f>F78*H78</f>
        <v>600</v>
      </c>
      <c r="K78" s="121" t="s">
        <v>14</v>
      </c>
      <c r="L78" s="123"/>
      <c r="M78" s="123"/>
      <c r="N78" s="8"/>
      <c r="O78" s="8"/>
      <c r="P78" s="8"/>
      <c r="Q78" s="8"/>
      <c r="R78" s="8"/>
      <c r="S78" s="8"/>
      <c r="T78" s="8"/>
      <c r="U78" s="8"/>
    </row>
    <row r="79" spans="1:21" s="77" customFormat="1" ht="18" thickBot="1" x14ac:dyDescent="0.35">
      <c r="A79" s="370"/>
      <c r="B79" s="121"/>
      <c r="C79" s="121" t="s">
        <v>278</v>
      </c>
      <c r="D79" s="123"/>
      <c r="E79" s="121"/>
      <c r="F79" s="96">
        <v>110</v>
      </c>
      <c r="G79" s="121" t="s">
        <v>21</v>
      </c>
      <c r="H79" s="99">
        <v>0.4</v>
      </c>
      <c r="I79" s="122" t="s">
        <v>6</v>
      </c>
      <c r="J79" s="124">
        <f t="shared" ref="J79:J82" si="8">F79*H79</f>
        <v>44</v>
      </c>
      <c r="K79" s="121" t="s">
        <v>14</v>
      </c>
      <c r="L79" s="123"/>
      <c r="M79" s="123"/>
      <c r="N79" s="91"/>
      <c r="O79" s="91"/>
      <c r="P79" s="91"/>
      <c r="Q79" s="91"/>
      <c r="R79" s="91"/>
      <c r="S79" s="91"/>
      <c r="T79" s="91"/>
      <c r="U79" s="91"/>
    </row>
    <row r="80" spans="1:21" s="91" customFormat="1" ht="15.6" thickBot="1" x14ac:dyDescent="0.3">
      <c r="A80" s="371"/>
      <c r="B80" s="121"/>
      <c r="C80" s="121" t="s">
        <v>279</v>
      </c>
      <c r="D80" s="123"/>
      <c r="E80" s="121"/>
      <c r="F80" s="96">
        <v>1400</v>
      </c>
      <c r="G80" s="121" t="s">
        <v>21</v>
      </c>
      <c r="H80" s="99">
        <v>0.46</v>
      </c>
      <c r="I80" s="122" t="s">
        <v>6</v>
      </c>
      <c r="J80" s="124">
        <f t="shared" si="8"/>
        <v>644</v>
      </c>
      <c r="K80" s="121" t="s">
        <v>14</v>
      </c>
      <c r="L80" s="123"/>
      <c r="M80" s="123"/>
      <c r="N80" s="8"/>
      <c r="O80" s="8"/>
      <c r="P80" s="8"/>
      <c r="Q80" s="8"/>
      <c r="R80" s="8"/>
      <c r="S80" s="8"/>
      <c r="T80" s="8"/>
      <c r="U80" s="8"/>
    </row>
    <row r="81" spans="1:21" s="77" customFormat="1" ht="18" thickBot="1" x14ac:dyDescent="0.35">
      <c r="A81" s="370"/>
      <c r="B81" s="121"/>
      <c r="C81" s="121" t="s">
        <v>280</v>
      </c>
      <c r="D81" s="121"/>
      <c r="E81" s="121"/>
      <c r="F81" s="96"/>
      <c r="G81" s="121" t="s">
        <v>21</v>
      </c>
      <c r="H81" s="99"/>
      <c r="I81" s="122" t="s">
        <v>6</v>
      </c>
      <c r="J81" s="124">
        <f t="shared" si="8"/>
        <v>0</v>
      </c>
      <c r="K81" s="121" t="s">
        <v>14</v>
      </c>
      <c r="L81" s="123"/>
      <c r="M81" s="123"/>
    </row>
    <row r="82" spans="1:21" ht="15.6" thickBot="1" x14ac:dyDescent="0.3">
      <c r="B82" s="121"/>
      <c r="C82" s="121" t="s">
        <v>280</v>
      </c>
      <c r="D82" s="121"/>
      <c r="E82" s="121"/>
      <c r="F82" s="96"/>
      <c r="G82" s="121" t="s">
        <v>21</v>
      </c>
      <c r="H82" s="99"/>
      <c r="I82" s="122" t="s">
        <v>6</v>
      </c>
      <c r="J82" s="124">
        <f t="shared" si="8"/>
        <v>0</v>
      </c>
      <c r="K82" s="121" t="s">
        <v>14</v>
      </c>
      <c r="L82" s="123"/>
      <c r="M82" s="123"/>
      <c r="N82" s="91"/>
      <c r="O82" s="91"/>
      <c r="P82" s="91"/>
      <c r="Q82" s="91"/>
      <c r="R82" s="91"/>
      <c r="S82" s="91"/>
      <c r="T82" s="91"/>
      <c r="U82" s="91"/>
    </row>
    <row r="83" spans="1:21" s="91" customFormat="1" ht="17.399999999999999" x14ac:dyDescent="0.3">
      <c r="A83" s="371"/>
      <c r="B83" s="270"/>
      <c r="C83" s="270" t="s">
        <v>222</v>
      </c>
      <c r="D83" s="270"/>
      <c r="E83" s="270"/>
      <c r="F83" s="270"/>
      <c r="G83" s="270"/>
      <c r="H83" s="270"/>
      <c r="I83" s="271"/>
      <c r="J83" s="272">
        <f>SUM(J78:J82)</f>
        <v>1288</v>
      </c>
      <c r="K83" s="270" t="s">
        <v>14</v>
      </c>
      <c r="L83" s="270"/>
      <c r="M83" s="270"/>
      <c r="N83" s="77"/>
      <c r="O83" s="77"/>
      <c r="P83" s="77"/>
      <c r="Q83" s="77"/>
      <c r="R83" s="77"/>
      <c r="S83" s="77"/>
      <c r="T83" s="77"/>
      <c r="U83" s="77"/>
    </row>
    <row r="84" spans="1:21" s="8" customFormat="1" x14ac:dyDescent="0.25">
      <c r="A84" s="369"/>
      <c r="B84" s="121"/>
      <c r="C84" s="121"/>
      <c r="D84" s="121"/>
      <c r="E84" s="121"/>
      <c r="F84" s="121"/>
      <c r="G84" s="121"/>
      <c r="H84" s="121"/>
      <c r="I84" s="122"/>
      <c r="J84" s="124"/>
      <c r="K84" s="121"/>
      <c r="L84" s="123"/>
      <c r="M84" s="123"/>
      <c r="N84"/>
      <c r="O84"/>
      <c r="P84"/>
      <c r="Q84"/>
      <c r="R84"/>
      <c r="S84"/>
      <c r="T84"/>
      <c r="U84"/>
    </row>
    <row r="85" spans="1:21" s="8" customFormat="1" ht="15" x14ac:dyDescent="0.25">
      <c r="A85" s="369"/>
      <c r="B85"/>
      <c r="C85"/>
      <c r="D85"/>
      <c r="E85"/>
      <c r="F85"/>
      <c r="G85"/>
      <c r="H85"/>
      <c r="I85"/>
      <c r="J85"/>
      <c r="K85"/>
      <c r="L85"/>
      <c r="M85"/>
      <c r="N85" s="91"/>
      <c r="O85" s="91"/>
      <c r="P85" s="91"/>
      <c r="Q85" s="91"/>
      <c r="R85" s="91"/>
      <c r="S85" s="91"/>
      <c r="T85" s="91"/>
      <c r="U85" s="91"/>
    </row>
    <row r="86" spans="1:21" s="8" customFormat="1" ht="15.6" x14ac:dyDescent="0.3">
      <c r="A86" s="369"/>
      <c r="B86" s="109" t="s">
        <v>282</v>
      </c>
      <c r="C86" s="72"/>
      <c r="D86" s="72"/>
      <c r="E86" s="72"/>
      <c r="F86" s="957" t="s">
        <v>159</v>
      </c>
      <c r="G86" s="957"/>
      <c r="H86" s="958" t="s">
        <v>158</v>
      </c>
      <c r="I86" s="958"/>
      <c r="J86" s="957" t="s">
        <v>273</v>
      </c>
      <c r="K86" s="957"/>
      <c r="L86" s="79"/>
      <c r="M86" s="79"/>
    </row>
    <row r="87" spans="1:21" x14ac:dyDescent="0.25">
      <c r="B87" s="72"/>
      <c r="C87" s="72"/>
      <c r="D87" s="72"/>
      <c r="E87" s="72"/>
      <c r="F87" s="74"/>
      <c r="G87" s="74"/>
      <c r="H87" s="73"/>
      <c r="I87" s="73"/>
      <c r="J87" s="73"/>
      <c r="K87" s="79"/>
      <c r="L87" s="79"/>
      <c r="M87" s="79"/>
      <c r="N87" s="8"/>
      <c r="O87" s="8"/>
      <c r="P87" s="8"/>
      <c r="Q87" s="8"/>
      <c r="R87" s="8"/>
      <c r="S87" s="8"/>
      <c r="T87" s="8"/>
      <c r="U87" s="8"/>
    </row>
    <row r="88" spans="1:21" ht="15.6" x14ac:dyDescent="0.3">
      <c r="B88" s="109"/>
      <c r="C88" s="72"/>
      <c r="D88" s="462" t="s">
        <v>364</v>
      </c>
      <c r="E88" s="72"/>
      <c r="F88" s="836"/>
      <c r="G88" s="836"/>
      <c r="H88" s="837"/>
      <c r="I88" s="837"/>
      <c r="J88" s="836"/>
      <c r="K88" s="836"/>
      <c r="L88" s="79"/>
      <c r="M88" s="79"/>
    </row>
    <row r="89" spans="1:21" ht="13.8" thickBot="1" x14ac:dyDescent="0.3">
      <c r="B89" s="214" t="s">
        <v>357</v>
      </c>
      <c r="C89" s="72"/>
      <c r="D89" s="72"/>
      <c r="E89" s="72"/>
      <c r="F89" s="74"/>
      <c r="G89" s="74"/>
      <c r="H89" s="73"/>
      <c r="I89" s="73"/>
      <c r="J89" s="79"/>
      <c r="K89" s="79"/>
      <c r="L89" s="79"/>
      <c r="M89" s="79"/>
    </row>
    <row r="90" spans="1:21" ht="13.8" thickBot="1" x14ac:dyDescent="0.3">
      <c r="B90" s="72"/>
      <c r="C90" s="72" t="s">
        <v>60</v>
      </c>
      <c r="D90" s="79"/>
      <c r="E90" s="72"/>
      <c r="F90" s="99">
        <v>2</v>
      </c>
      <c r="G90" s="74" t="s">
        <v>20</v>
      </c>
      <c r="H90" s="99">
        <v>26.8</v>
      </c>
      <c r="I90" s="73" t="s">
        <v>5</v>
      </c>
      <c r="J90" s="79">
        <f>F90*H90</f>
        <v>53.6</v>
      </c>
      <c r="K90" s="72" t="s">
        <v>14</v>
      </c>
      <c r="L90" s="79"/>
      <c r="M90" s="79"/>
    </row>
    <row r="91" spans="1:21" ht="13.8" thickBot="1" x14ac:dyDescent="0.3">
      <c r="B91" s="72"/>
      <c r="C91" s="72" t="s">
        <v>67</v>
      </c>
      <c r="D91" s="79"/>
      <c r="E91" s="72"/>
      <c r="F91" s="99">
        <v>1.7</v>
      </c>
      <c r="G91" s="74" t="s">
        <v>21</v>
      </c>
      <c r="H91" s="99">
        <v>50.57</v>
      </c>
      <c r="I91" s="73" t="s">
        <v>6</v>
      </c>
      <c r="J91" s="79">
        <f t="shared" ref="J91:J96" si="9">F91*H91</f>
        <v>85.968999999999994</v>
      </c>
      <c r="K91" s="72" t="s">
        <v>14</v>
      </c>
      <c r="L91" s="79"/>
      <c r="M91" s="79"/>
    </row>
    <row r="92" spans="1:21" ht="13.8" thickBot="1" x14ac:dyDescent="0.3">
      <c r="B92" s="72"/>
      <c r="C92" s="72" t="s">
        <v>65</v>
      </c>
      <c r="D92" s="79"/>
      <c r="E92" s="72"/>
      <c r="F92" s="99">
        <v>2</v>
      </c>
      <c r="G92" s="74" t="s">
        <v>20</v>
      </c>
      <c r="H92" s="99">
        <v>46.47</v>
      </c>
      <c r="I92" s="73" t="s">
        <v>5</v>
      </c>
      <c r="J92" s="79">
        <f t="shared" si="9"/>
        <v>92.94</v>
      </c>
      <c r="K92" s="72" t="s">
        <v>14</v>
      </c>
      <c r="L92" s="79"/>
      <c r="M92" s="79"/>
    </row>
    <row r="93" spans="1:21" ht="13.8" thickBot="1" x14ac:dyDescent="0.3">
      <c r="B93" s="72"/>
      <c r="C93" s="72" t="s">
        <v>68</v>
      </c>
      <c r="D93" s="79"/>
      <c r="E93" s="72"/>
      <c r="F93" s="99">
        <v>0.15</v>
      </c>
      <c r="G93" s="74" t="s">
        <v>20</v>
      </c>
      <c r="H93" s="99">
        <v>39.229999999999997</v>
      </c>
      <c r="I93" s="73" t="s">
        <v>5</v>
      </c>
      <c r="J93" s="568">
        <f t="shared" si="9"/>
        <v>5.8844999999999992</v>
      </c>
      <c r="K93" s="72" t="s">
        <v>14</v>
      </c>
      <c r="L93" s="79"/>
      <c r="M93" s="79"/>
    </row>
    <row r="94" spans="1:21" ht="13.8" thickBot="1" x14ac:dyDescent="0.3">
      <c r="B94" s="72"/>
      <c r="C94" s="72" t="s">
        <v>326</v>
      </c>
      <c r="D94" s="79"/>
      <c r="E94" s="72"/>
      <c r="F94" s="119"/>
      <c r="G94" s="74" t="s">
        <v>20</v>
      </c>
      <c r="H94" s="99"/>
      <c r="I94" s="73" t="s">
        <v>5</v>
      </c>
      <c r="J94" s="79">
        <f t="shared" si="9"/>
        <v>0</v>
      </c>
      <c r="K94" s="72" t="s">
        <v>14</v>
      </c>
      <c r="L94" s="79"/>
      <c r="M94" s="79"/>
    </row>
    <row r="95" spans="1:21" ht="13.8" thickBot="1" x14ac:dyDescent="0.3">
      <c r="B95" s="72"/>
      <c r="C95" s="72" t="s">
        <v>326</v>
      </c>
      <c r="D95" s="72"/>
      <c r="E95" s="72"/>
      <c r="F95" s="119"/>
      <c r="G95" s="74" t="s">
        <v>20</v>
      </c>
      <c r="H95" s="99"/>
      <c r="I95" s="73" t="s">
        <v>5</v>
      </c>
      <c r="J95" s="79">
        <f t="shared" si="9"/>
        <v>0</v>
      </c>
      <c r="K95" s="72" t="s">
        <v>14</v>
      </c>
      <c r="L95" s="79"/>
      <c r="M95" s="79"/>
    </row>
    <row r="96" spans="1:21" ht="13.8" thickBot="1" x14ac:dyDescent="0.3">
      <c r="B96" s="72"/>
      <c r="C96" s="72" t="s">
        <v>326</v>
      </c>
      <c r="D96" s="72"/>
      <c r="E96" s="72"/>
      <c r="F96" s="119"/>
      <c r="G96" s="74" t="s">
        <v>20</v>
      </c>
      <c r="H96" s="99"/>
      <c r="I96" s="73" t="s">
        <v>5</v>
      </c>
      <c r="J96" s="79">
        <f t="shared" si="9"/>
        <v>0</v>
      </c>
      <c r="K96" s="72" t="s">
        <v>14</v>
      </c>
      <c r="L96" s="79"/>
      <c r="M96" s="79"/>
    </row>
    <row r="97" spans="1:15" x14ac:dyDescent="0.25">
      <c r="B97" s="72"/>
      <c r="C97" s="72"/>
      <c r="D97" s="72"/>
      <c r="E97" s="72"/>
      <c r="F97" s="212"/>
      <c r="G97" s="74"/>
      <c r="H97" s="213"/>
      <c r="I97" s="73"/>
      <c r="J97" s="79"/>
      <c r="K97" s="72"/>
      <c r="L97" s="79"/>
      <c r="M97" s="79"/>
    </row>
    <row r="98" spans="1:15" ht="13.8" thickBot="1" x14ac:dyDescent="0.3">
      <c r="B98" s="214" t="s">
        <v>358</v>
      </c>
      <c r="C98" s="72"/>
      <c r="D98" s="72"/>
      <c r="E98" s="72"/>
      <c r="F98" s="212"/>
      <c r="G98" s="74"/>
      <c r="H98" s="213"/>
      <c r="I98" s="73"/>
      <c r="J98" s="79"/>
      <c r="K98" s="72"/>
      <c r="L98" s="79"/>
      <c r="M98" s="79"/>
    </row>
    <row r="99" spans="1:15" ht="13.8" thickBot="1" x14ac:dyDescent="0.3">
      <c r="B99" s="72"/>
      <c r="C99" s="72" t="s">
        <v>61</v>
      </c>
      <c r="D99" s="72"/>
      <c r="E99" s="72"/>
      <c r="F99" s="119"/>
      <c r="G99" s="74" t="s">
        <v>62</v>
      </c>
      <c r="H99" s="119"/>
      <c r="I99" s="73" t="s">
        <v>63</v>
      </c>
      <c r="J99" s="79">
        <f t="shared" ref="J99:J103" si="10">F99*H99</f>
        <v>0</v>
      </c>
      <c r="K99" s="72" t="s">
        <v>14</v>
      </c>
      <c r="L99" s="79"/>
      <c r="M99" s="79"/>
    </row>
    <row r="100" spans="1:15" ht="13.8" thickBot="1" x14ac:dyDescent="0.3">
      <c r="B100" s="72"/>
      <c r="C100" s="72" t="s">
        <v>326</v>
      </c>
      <c r="D100" s="72"/>
      <c r="E100" s="72"/>
      <c r="F100" s="119"/>
      <c r="G100" s="74" t="s">
        <v>20</v>
      </c>
      <c r="H100" s="119"/>
      <c r="I100" s="73" t="s">
        <v>5</v>
      </c>
      <c r="J100" s="79">
        <f t="shared" si="10"/>
        <v>0</v>
      </c>
      <c r="K100" s="72" t="s">
        <v>14</v>
      </c>
      <c r="L100" s="79"/>
      <c r="M100" s="79"/>
    </row>
    <row r="101" spans="1:15" ht="13.8" thickBot="1" x14ac:dyDescent="0.3">
      <c r="B101" s="72"/>
      <c r="C101" s="72" t="s">
        <v>326</v>
      </c>
      <c r="D101" s="72"/>
      <c r="E101" s="72"/>
      <c r="F101" s="119"/>
      <c r="G101" s="74" t="s">
        <v>20</v>
      </c>
      <c r="H101" s="119"/>
      <c r="I101" s="73" t="s">
        <v>5</v>
      </c>
      <c r="J101" s="79">
        <f t="shared" si="10"/>
        <v>0</v>
      </c>
      <c r="K101" s="72" t="s">
        <v>14</v>
      </c>
      <c r="L101" s="79"/>
      <c r="M101" s="79"/>
    </row>
    <row r="102" spans="1:15" ht="13.8" thickBot="1" x14ac:dyDescent="0.3">
      <c r="B102" s="72"/>
      <c r="C102" s="72" t="s">
        <v>326</v>
      </c>
      <c r="D102" s="72"/>
      <c r="E102" s="72"/>
      <c r="F102" s="119"/>
      <c r="G102" s="74" t="s">
        <v>20</v>
      </c>
      <c r="H102" s="119"/>
      <c r="I102" s="73" t="s">
        <v>5</v>
      </c>
      <c r="J102" s="79">
        <f t="shared" si="10"/>
        <v>0</v>
      </c>
      <c r="K102" s="72" t="s">
        <v>14</v>
      </c>
      <c r="L102" s="79"/>
      <c r="M102" s="79"/>
    </row>
    <row r="103" spans="1:15" ht="13.8" thickBot="1" x14ac:dyDescent="0.3">
      <c r="B103" s="72"/>
      <c r="C103" s="72" t="s">
        <v>326</v>
      </c>
      <c r="D103" s="72"/>
      <c r="E103" s="72"/>
      <c r="F103" s="119"/>
      <c r="G103" s="74" t="s">
        <v>20</v>
      </c>
      <c r="H103" s="119"/>
      <c r="I103" s="73" t="s">
        <v>5</v>
      </c>
      <c r="J103" s="79">
        <f t="shared" si="10"/>
        <v>0</v>
      </c>
      <c r="K103" s="72" t="s">
        <v>14</v>
      </c>
      <c r="L103" s="79"/>
      <c r="M103" s="79"/>
    </row>
    <row r="104" spans="1:15" s="8" customFormat="1" x14ac:dyDescent="0.25">
      <c r="A104" s="369"/>
      <c r="B104" s="241"/>
      <c r="C104" s="241" t="s">
        <v>196</v>
      </c>
      <c r="D104" s="241"/>
      <c r="E104" s="241"/>
      <c r="F104" s="273"/>
      <c r="G104" s="242"/>
      <c r="H104" s="273"/>
      <c r="I104" s="243"/>
      <c r="J104" s="243">
        <f>SUM(J90:J103)</f>
        <v>238.39349999999999</v>
      </c>
      <c r="K104" s="241" t="s">
        <v>14</v>
      </c>
      <c r="L104" s="241"/>
      <c r="M104" s="241"/>
    </row>
    <row r="105" spans="1:15" x14ac:dyDescent="0.25">
      <c r="B105" s="72"/>
      <c r="C105" s="72"/>
      <c r="D105" s="72"/>
      <c r="E105" s="72"/>
      <c r="F105" s="74"/>
      <c r="G105" s="74"/>
      <c r="H105" s="73"/>
      <c r="I105" s="73"/>
      <c r="J105" s="79"/>
      <c r="K105" s="72"/>
      <c r="L105" s="79"/>
      <c r="M105" s="79"/>
    </row>
    <row r="106" spans="1:15" x14ac:dyDescent="0.25">
      <c r="A106" s="374"/>
      <c r="N106" s="5"/>
      <c r="O106" s="5"/>
    </row>
    <row r="107" spans="1:15" ht="15.6" x14ac:dyDescent="0.3">
      <c r="A107" s="374"/>
      <c r="B107" s="110" t="s">
        <v>285</v>
      </c>
      <c r="C107" s="82"/>
      <c r="D107" s="82"/>
      <c r="E107" s="82"/>
      <c r="F107" s="965" t="s">
        <v>159</v>
      </c>
      <c r="G107" s="965"/>
      <c r="H107" s="965" t="s">
        <v>158</v>
      </c>
      <c r="I107" s="965"/>
      <c r="J107" s="965" t="s">
        <v>273</v>
      </c>
      <c r="K107" s="965"/>
      <c r="L107" s="84"/>
      <c r="M107" s="84"/>
      <c r="N107" s="5"/>
      <c r="O107" s="5"/>
    </row>
    <row r="108" spans="1:15" ht="13.8" thickBot="1" x14ac:dyDescent="0.3">
      <c r="A108" s="374"/>
      <c r="B108" s="82"/>
      <c r="C108" s="82"/>
      <c r="D108" s="82"/>
      <c r="E108" s="82"/>
      <c r="F108" s="82"/>
      <c r="G108" s="82"/>
      <c r="H108" s="83"/>
      <c r="I108" s="83"/>
      <c r="J108" s="84"/>
      <c r="K108" s="84"/>
      <c r="L108" s="84"/>
      <c r="M108" s="84"/>
      <c r="N108" s="5"/>
      <c r="O108" s="5"/>
    </row>
    <row r="109" spans="1:15" ht="13.8" thickBot="1" x14ac:dyDescent="0.3">
      <c r="A109" s="374"/>
      <c r="B109" s="82"/>
      <c r="C109" s="82" t="s">
        <v>286</v>
      </c>
      <c r="D109" s="84"/>
      <c r="E109" s="82"/>
      <c r="F109" s="463">
        <f>S10*'Gårdens info'!$G$12/1</f>
        <v>0</v>
      </c>
      <c r="G109" s="82" t="s">
        <v>153</v>
      </c>
      <c r="H109" s="99">
        <v>0.01</v>
      </c>
      <c r="I109" s="83" t="s">
        <v>152</v>
      </c>
      <c r="J109" s="85">
        <f>F109*H109</f>
        <v>0</v>
      </c>
      <c r="K109" s="82" t="s">
        <v>14</v>
      </c>
      <c r="L109" s="84"/>
      <c r="M109" s="84"/>
      <c r="N109" s="5"/>
      <c r="O109" s="5"/>
    </row>
    <row r="110" spans="1:15" ht="13.8" thickBot="1" x14ac:dyDescent="0.3">
      <c r="A110" s="374"/>
      <c r="B110" s="82"/>
      <c r="C110" s="82" t="s">
        <v>287</v>
      </c>
      <c r="D110" s="84"/>
      <c r="E110" s="82"/>
      <c r="F110" s="463">
        <f>S11*'Gårdens info'!$G$12/1</f>
        <v>0</v>
      </c>
      <c r="G110" s="82" t="s">
        <v>153</v>
      </c>
      <c r="H110" s="99">
        <v>0.01</v>
      </c>
      <c r="I110" s="83" t="s">
        <v>152</v>
      </c>
      <c r="J110" s="85">
        <f t="shared" ref="J110:J116" si="11">F110*H110</f>
        <v>0</v>
      </c>
      <c r="K110" s="82" t="s">
        <v>14</v>
      </c>
      <c r="L110" s="84"/>
      <c r="M110" s="84"/>
      <c r="N110" s="5"/>
      <c r="O110" s="5"/>
    </row>
    <row r="111" spans="1:15" ht="13.8" thickBot="1" x14ac:dyDescent="0.3">
      <c r="A111" s="374"/>
      <c r="B111" s="82"/>
      <c r="C111" s="82" t="s">
        <v>288</v>
      </c>
      <c r="D111" s="84"/>
      <c r="E111" s="82"/>
      <c r="F111" s="463">
        <f>S12*'Gårdens info'!$G$12/1</f>
        <v>20000</v>
      </c>
      <c r="G111" s="82" t="s">
        <v>153</v>
      </c>
      <c r="H111" s="99">
        <v>0.01</v>
      </c>
      <c r="I111" s="83" t="s">
        <v>152</v>
      </c>
      <c r="J111" s="85">
        <f t="shared" si="11"/>
        <v>200</v>
      </c>
      <c r="K111" s="82" t="s">
        <v>14</v>
      </c>
      <c r="L111" s="84"/>
      <c r="M111" s="84"/>
      <c r="N111" s="5"/>
      <c r="O111" s="5"/>
    </row>
    <row r="112" spans="1:15" ht="13.8" thickBot="1" x14ac:dyDescent="0.3">
      <c r="A112" s="374"/>
      <c r="B112" s="82"/>
      <c r="C112" s="82" t="s">
        <v>289</v>
      </c>
      <c r="D112" s="84"/>
      <c r="E112" s="82"/>
      <c r="F112" s="463">
        <f>S13*'Gårdens info'!$G$12/1</f>
        <v>20000</v>
      </c>
      <c r="G112" s="82" t="s">
        <v>153</v>
      </c>
      <c r="H112" s="99">
        <v>0.05</v>
      </c>
      <c r="I112" s="83" t="s">
        <v>152</v>
      </c>
      <c r="J112" s="85">
        <f t="shared" si="11"/>
        <v>1000</v>
      </c>
      <c r="K112" s="82" t="s">
        <v>14</v>
      </c>
      <c r="L112" s="84"/>
      <c r="M112" s="84"/>
      <c r="N112" s="5"/>
      <c r="O112" s="5"/>
    </row>
    <row r="113" spans="1:21" ht="13.8" thickBot="1" x14ac:dyDescent="0.3">
      <c r="A113" s="374"/>
      <c r="B113" s="82"/>
      <c r="C113" s="119" t="s">
        <v>290</v>
      </c>
      <c r="D113" s="99"/>
      <c r="E113" s="82" t="s">
        <v>21</v>
      </c>
      <c r="F113" s="463">
        <f>IF(S14&gt;0,S14*'Gårdens info'!$G$12/D113,0)</f>
        <v>0</v>
      </c>
      <c r="G113" s="82" t="s">
        <v>153</v>
      </c>
      <c r="H113" s="99"/>
      <c r="I113" s="83" t="s">
        <v>152</v>
      </c>
      <c r="J113" s="85">
        <f t="shared" ref="J113:J114" si="12">F113*H113</f>
        <v>0</v>
      </c>
      <c r="K113" s="82" t="s">
        <v>14</v>
      </c>
      <c r="L113" s="84"/>
      <c r="M113" s="84"/>
      <c r="N113" s="5"/>
      <c r="O113" s="5"/>
    </row>
    <row r="114" spans="1:21" ht="13.8" thickBot="1" x14ac:dyDescent="0.3">
      <c r="A114" s="374"/>
      <c r="B114" s="82"/>
      <c r="C114" s="119" t="s">
        <v>290</v>
      </c>
      <c r="D114" s="99"/>
      <c r="E114" s="82" t="s">
        <v>21</v>
      </c>
      <c r="F114" s="463">
        <f>IF(S15&gt;0,S15*'Gårdens info'!$G$12/D114,0)</f>
        <v>0</v>
      </c>
      <c r="G114" s="82" t="s">
        <v>153</v>
      </c>
      <c r="H114" s="99"/>
      <c r="I114" s="83" t="s">
        <v>152</v>
      </c>
      <c r="J114" s="85">
        <f t="shared" si="12"/>
        <v>0</v>
      </c>
      <c r="K114" s="82" t="s">
        <v>14</v>
      </c>
      <c r="L114" s="84"/>
      <c r="M114" s="84"/>
      <c r="N114" s="5"/>
      <c r="O114" s="5"/>
    </row>
    <row r="115" spans="1:21" ht="13.8" thickBot="1" x14ac:dyDescent="0.3">
      <c r="A115" s="374"/>
      <c r="B115" s="82"/>
      <c r="C115" s="119" t="s">
        <v>290</v>
      </c>
      <c r="D115" s="99"/>
      <c r="E115" s="82" t="s">
        <v>21</v>
      </c>
      <c r="F115" s="463">
        <f>IF(S16&gt;0,S16*'Gårdens info'!$G$12/D115,0)</f>
        <v>0</v>
      </c>
      <c r="G115" s="82" t="s">
        <v>153</v>
      </c>
      <c r="H115" s="99"/>
      <c r="I115" s="83" t="s">
        <v>152</v>
      </c>
      <c r="J115" s="85">
        <f t="shared" si="11"/>
        <v>0</v>
      </c>
      <c r="K115" s="82" t="s">
        <v>14</v>
      </c>
      <c r="L115" s="84"/>
      <c r="M115" s="84"/>
      <c r="N115" s="5"/>
      <c r="O115" s="5"/>
    </row>
    <row r="116" spans="1:21" ht="13.8" thickBot="1" x14ac:dyDescent="0.3">
      <c r="A116" s="374"/>
      <c r="B116" s="82"/>
      <c r="C116" s="119" t="s">
        <v>290</v>
      </c>
      <c r="D116" s="99"/>
      <c r="E116" s="82" t="s">
        <v>21</v>
      </c>
      <c r="F116" s="463">
        <f>IF(S17&gt;0,S17*'Gårdens info'!$G$12/D116,0)</f>
        <v>0</v>
      </c>
      <c r="G116" s="82" t="s">
        <v>153</v>
      </c>
      <c r="H116" s="99"/>
      <c r="I116" s="83" t="s">
        <v>152</v>
      </c>
      <c r="J116" s="85">
        <f t="shared" si="11"/>
        <v>0</v>
      </c>
      <c r="K116" s="82" t="s">
        <v>14</v>
      </c>
      <c r="L116" s="84"/>
      <c r="M116" s="84"/>
      <c r="N116" s="5"/>
      <c r="O116" s="5"/>
    </row>
    <row r="117" spans="1:21" x14ac:dyDescent="0.25">
      <c r="A117" s="374"/>
      <c r="B117" s="245"/>
      <c r="C117" s="245" t="s">
        <v>196</v>
      </c>
      <c r="D117" s="245"/>
      <c r="E117" s="245"/>
      <c r="F117" s="246"/>
      <c r="G117" s="245"/>
      <c r="H117" s="247"/>
      <c r="I117" s="248"/>
      <c r="J117" s="249">
        <f>SUM(J109:J116)</f>
        <v>1200</v>
      </c>
      <c r="K117" s="245" t="s">
        <v>14</v>
      </c>
      <c r="L117" s="245"/>
      <c r="M117" s="245"/>
      <c r="N117" s="5"/>
      <c r="O117" s="5"/>
    </row>
    <row r="118" spans="1:21" x14ac:dyDescent="0.25">
      <c r="A118" s="374"/>
      <c r="B118" s="82"/>
      <c r="C118" s="82"/>
      <c r="D118" s="82"/>
      <c r="E118" s="82"/>
      <c r="F118" s="82"/>
      <c r="G118" s="82"/>
      <c r="H118" s="83"/>
      <c r="I118" s="83"/>
      <c r="J118" s="85"/>
      <c r="K118" s="82"/>
      <c r="L118" s="84"/>
      <c r="M118" s="84"/>
      <c r="N118" s="5"/>
      <c r="O118" s="5"/>
    </row>
    <row r="119" spans="1:21" x14ac:dyDescent="0.25">
      <c r="A119" s="374"/>
      <c r="N119" s="5"/>
      <c r="O119" s="5"/>
    </row>
    <row r="120" spans="1:21" s="8" customFormat="1" ht="15.6" x14ac:dyDescent="0.3">
      <c r="A120" s="375"/>
      <c r="B120" s="111" t="s">
        <v>291</v>
      </c>
      <c r="C120" s="87"/>
      <c r="D120" s="87"/>
      <c r="E120" s="87"/>
      <c r="F120" s="966" t="s">
        <v>159</v>
      </c>
      <c r="G120" s="966"/>
      <c r="H120" s="966" t="s">
        <v>158</v>
      </c>
      <c r="I120" s="966"/>
      <c r="J120" s="966" t="s">
        <v>273</v>
      </c>
      <c r="K120" s="966"/>
      <c r="L120" s="89"/>
      <c r="M120" s="89"/>
      <c r="N120" s="5"/>
      <c r="O120" s="5"/>
      <c r="P120"/>
      <c r="Q120"/>
      <c r="R120"/>
      <c r="S120"/>
      <c r="T120"/>
      <c r="U120"/>
    </row>
    <row r="121" spans="1:21" ht="13.8" thickBot="1" x14ac:dyDescent="0.3">
      <c r="A121" s="374"/>
      <c r="B121" s="87"/>
      <c r="C121" s="87"/>
      <c r="D121" s="87"/>
      <c r="E121" s="87"/>
      <c r="F121" s="87"/>
      <c r="G121" s="87"/>
      <c r="H121" s="88"/>
      <c r="I121" s="88"/>
      <c r="J121" s="89"/>
      <c r="K121" s="89"/>
      <c r="L121" s="89"/>
      <c r="M121" s="89"/>
      <c r="N121" s="5"/>
      <c r="O121" s="5"/>
    </row>
    <row r="122" spans="1:21" ht="13.8" thickBot="1" x14ac:dyDescent="0.3">
      <c r="A122" s="374"/>
      <c r="B122" s="87"/>
      <c r="C122" s="87" t="s">
        <v>247</v>
      </c>
      <c r="D122" s="89"/>
      <c r="E122" s="87"/>
      <c r="F122" s="96">
        <f>'Gårdens info'!G12*'Gårdens info'!D12*0.8</f>
        <v>32000</v>
      </c>
      <c r="G122" s="87" t="s">
        <v>21</v>
      </c>
      <c r="H122" s="99">
        <v>0.02</v>
      </c>
      <c r="I122" s="88" t="s">
        <v>6</v>
      </c>
      <c r="J122" s="90">
        <f t="shared" ref="J122:J124" si="13">F122*H122</f>
        <v>640</v>
      </c>
      <c r="K122" s="87" t="s">
        <v>14</v>
      </c>
      <c r="L122" s="89"/>
      <c r="M122" s="89"/>
      <c r="N122" s="9"/>
      <c r="O122" s="9"/>
      <c r="P122" s="8"/>
      <c r="Q122" s="8"/>
      <c r="R122" s="8"/>
      <c r="S122" s="8"/>
      <c r="T122" s="8"/>
      <c r="U122" s="8"/>
    </row>
    <row r="123" spans="1:21" ht="13.8" thickBot="1" x14ac:dyDescent="0.3">
      <c r="A123" s="374"/>
      <c r="B123" s="87"/>
      <c r="C123" s="87" t="s">
        <v>292</v>
      </c>
      <c r="D123" s="87"/>
      <c r="E123" s="87"/>
      <c r="F123" s="96"/>
      <c r="G123" s="87" t="s">
        <v>21</v>
      </c>
      <c r="H123" s="99"/>
      <c r="I123" s="88" t="s">
        <v>6</v>
      </c>
      <c r="J123" s="90">
        <f t="shared" si="13"/>
        <v>0</v>
      </c>
      <c r="K123" s="87" t="s">
        <v>14</v>
      </c>
      <c r="L123" s="89"/>
      <c r="M123" s="89"/>
      <c r="N123" s="5"/>
      <c r="O123" s="5"/>
    </row>
    <row r="124" spans="1:21" ht="13.8" thickBot="1" x14ac:dyDescent="0.3">
      <c r="A124" s="374"/>
      <c r="B124" s="87"/>
      <c r="C124" s="87" t="s">
        <v>292</v>
      </c>
      <c r="D124" s="87"/>
      <c r="E124" s="87"/>
      <c r="F124" s="96"/>
      <c r="G124" s="87" t="s">
        <v>21</v>
      </c>
      <c r="H124" s="99"/>
      <c r="I124" s="88" t="s">
        <v>6</v>
      </c>
      <c r="J124" s="90">
        <f t="shared" si="13"/>
        <v>0</v>
      </c>
      <c r="K124" s="87" t="s">
        <v>14</v>
      </c>
      <c r="L124" s="89"/>
      <c r="M124" s="89"/>
      <c r="N124" s="5"/>
      <c r="O124" s="5"/>
    </row>
    <row r="125" spans="1:21" x14ac:dyDescent="0.25">
      <c r="A125" s="374"/>
      <c r="B125" s="250"/>
      <c r="C125" s="250" t="s">
        <v>196</v>
      </c>
      <c r="D125" s="250"/>
      <c r="E125" s="250"/>
      <c r="F125" s="251"/>
      <c r="G125" s="250"/>
      <c r="H125" s="252"/>
      <c r="I125" s="253"/>
      <c r="J125" s="254">
        <f>SUM(J122:J124)</f>
        <v>640</v>
      </c>
      <c r="K125" s="250" t="s">
        <v>14</v>
      </c>
      <c r="L125" s="250"/>
      <c r="M125" s="250"/>
      <c r="N125" s="5"/>
      <c r="O125" s="5"/>
    </row>
    <row r="126" spans="1:21" x14ac:dyDescent="0.25">
      <c r="A126" s="374"/>
      <c r="B126" s="87"/>
      <c r="C126" s="87"/>
      <c r="D126" s="87"/>
      <c r="E126" s="87"/>
      <c r="F126" s="87"/>
      <c r="G126" s="87"/>
      <c r="H126" s="88"/>
      <c r="I126" s="88"/>
      <c r="J126" s="90"/>
      <c r="K126" s="87"/>
      <c r="L126" s="89"/>
      <c r="M126" s="89"/>
      <c r="N126" s="5"/>
    </row>
    <row r="127" spans="1:21" x14ac:dyDescent="0.25">
      <c r="A127" s="374"/>
      <c r="N127" s="5"/>
    </row>
    <row r="128" spans="1:21" ht="15.6" x14ac:dyDescent="0.3">
      <c r="A128" s="374"/>
      <c r="B128" s="219" t="s">
        <v>293</v>
      </c>
      <c r="C128" s="220"/>
      <c r="D128" s="220"/>
      <c r="E128" s="220"/>
      <c r="F128" s="964" t="s">
        <v>159</v>
      </c>
      <c r="G128" s="964"/>
      <c r="H128" s="964" t="s">
        <v>158</v>
      </c>
      <c r="I128" s="964"/>
      <c r="J128" s="964" t="s">
        <v>273</v>
      </c>
      <c r="K128" s="964"/>
      <c r="L128" s="222"/>
      <c r="M128" s="222"/>
      <c r="N128" s="5"/>
    </row>
    <row r="129" spans="1:21" ht="13.8" thickBot="1" x14ac:dyDescent="0.3">
      <c r="A129" s="374"/>
      <c r="B129" s="220"/>
      <c r="C129" s="220"/>
      <c r="D129" s="220"/>
      <c r="E129" s="220"/>
      <c r="F129" s="220"/>
      <c r="G129" s="220"/>
      <c r="H129" s="221"/>
      <c r="I129" s="221"/>
      <c r="J129" s="222"/>
      <c r="K129" s="222"/>
      <c r="L129" s="222"/>
      <c r="M129" s="222"/>
      <c r="N129" s="5"/>
    </row>
    <row r="130" spans="1:21" ht="13.8" thickBot="1" x14ac:dyDescent="0.3">
      <c r="A130" s="374"/>
      <c r="B130" s="220"/>
      <c r="C130" s="220" t="s">
        <v>294</v>
      </c>
      <c r="D130" s="222"/>
      <c r="E130" s="220"/>
      <c r="F130" s="96"/>
      <c r="G130" s="220" t="s">
        <v>0</v>
      </c>
      <c r="H130" s="99"/>
      <c r="I130" s="221" t="s">
        <v>14</v>
      </c>
      <c r="J130" s="223">
        <f t="shared" ref="J130:J132" si="14">F130*H130</f>
        <v>0</v>
      </c>
      <c r="K130" s="220" t="s">
        <v>14</v>
      </c>
      <c r="L130" s="222"/>
      <c r="M130" s="222"/>
      <c r="N130" s="5"/>
    </row>
    <row r="131" spans="1:21" ht="13.8" thickBot="1" x14ac:dyDescent="0.3">
      <c r="B131" s="220"/>
      <c r="C131" s="220" t="s">
        <v>294</v>
      </c>
      <c r="D131" s="220"/>
      <c r="E131" s="220"/>
      <c r="F131" s="96"/>
      <c r="G131" s="220" t="s">
        <v>0</v>
      </c>
      <c r="H131" s="99"/>
      <c r="I131" s="221" t="s">
        <v>14</v>
      </c>
      <c r="J131" s="223">
        <f t="shared" si="14"/>
        <v>0</v>
      </c>
      <c r="K131" s="220" t="s">
        <v>14</v>
      </c>
      <c r="L131" s="222"/>
      <c r="M131" s="222"/>
    </row>
    <row r="132" spans="1:21" ht="13.8" thickBot="1" x14ac:dyDescent="0.3">
      <c r="B132" s="220"/>
      <c r="C132" s="220" t="s">
        <v>294</v>
      </c>
      <c r="D132" s="220"/>
      <c r="E132" s="220"/>
      <c r="F132" s="96"/>
      <c r="G132" s="220" t="s">
        <v>0</v>
      </c>
      <c r="H132" s="99"/>
      <c r="I132" s="221" t="s">
        <v>14</v>
      </c>
      <c r="J132" s="223">
        <f t="shared" si="14"/>
        <v>0</v>
      </c>
      <c r="K132" s="220" t="s">
        <v>14</v>
      </c>
      <c r="L132" s="222"/>
      <c r="M132" s="222"/>
    </row>
    <row r="133" spans="1:21" s="8" customFormat="1" x14ac:dyDescent="0.25">
      <c r="A133" s="369"/>
      <c r="B133" s="255"/>
      <c r="C133" s="255" t="s">
        <v>196</v>
      </c>
      <c r="D133" s="255"/>
      <c r="E133" s="255"/>
      <c r="F133" s="256"/>
      <c r="G133" s="255"/>
      <c r="H133" s="257"/>
      <c r="I133" s="258"/>
      <c r="J133" s="259">
        <f>SUM(J130:J132)</f>
        <v>0</v>
      </c>
      <c r="K133" s="255" t="s">
        <v>14</v>
      </c>
      <c r="L133" s="255"/>
      <c r="M133" s="255"/>
      <c r="N133"/>
      <c r="O133"/>
      <c r="P133"/>
      <c r="Q133"/>
      <c r="R133"/>
      <c r="S133"/>
      <c r="T133"/>
      <c r="U133"/>
    </row>
    <row r="134" spans="1:21" x14ac:dyDescent="0.25">
      <c r="B134" s="220"/>
      <c r="C134" s="220"/>
      <c r="D134" s="220"/>
      <c r="E134" s="220"/>
      <c r="F134" s="220"/>
      <c r="G134" s="220"/>
      <c r="H134" s="221"/>
      <c r="I134" s="221"/>
      <c r="J134" s="223"/>
      <c r="K134" s="220"/>
      <c r="L134" s="222"/>
      <c r="M134" s="222"/>
    </row>
    <row r="135" spans="1:21" ht="30" customHeight="1" x14ac:dyDescent="0.25">
      <c r="N135" s="8"/>
      <c r="O135" s="8"/>
      <c r="P135" s="8"/>
      <c r="Q135" s="8"/>
      <c r="R135" s="8"/>
      <c r="S135" s="8"/>
      <c r="T135" s="8"/>
      <c r="U135" s="8"/>
    </row>
    <row r="136" spans="1:21" ht="15.6" x14ac:dyDescent="0.3">
      <c r="B136" s="225" t="s">
        <v>295</v>
      </c>
      <c r="C136" s="226"/>
      <c r="D136" s="226"/>
      <c r="E136" s="227"/>
      <c r="F136" s="226" t="s">
        <v>159</v>
      </c>
      <c r="G136" s="228"/>
      <c r="H136" s="228" t="s">
        <v>158</v>
      </c>
      <c r="I136" s="226"/>
      <c r="J136" s="226"/>
      <c r="K136" s="229"/>
      <c r="L136" s="229"/>
      <c r="M136" s="229"/>
    </row>
    <row r="137" spans="1:21" ht="16.2" thickBot="1" x14ac:dyDescent="0.35">
      <c r="B137" s="225"/>
      <c r="C137" s="226"/>
      <c r="D137" s="226"/>
      <c r="E137" s="227"/>
      <c r="F137" s="226"/>
      <c r="G137" s="228"/>
      <c r="H137" s="228"/>
      <c r="I137" s="226"/>
      <c r="J137" s="226"/>
      <c r="K137" s="229"/>
      <c r="L137" s="229"/>
      <c r="M137" s="229"/>
    </row>
    <row r="138" spans="1:21" ht="13.8" thickBot="1" x14ac:dyDescent="0.3">
      <c r="B138" s="226"/>
      <c r="C138" s="226" t="s">
        <v>296</v>
      </c>
      <c r="D138" s="229"/>
      <c r="E138" s="230"/>
      <c r="F138" s="96">
        <v>10500</v>
      </c>
      <c r="G138" s="231" t="s">
        <v>18</v>
      </c>
      <c r="H138" s="96">
        <v>0.15</v>
      </c>
      <c r="I138" s="232" t="s">
        <v>10</v>
      </c>
      <c r="J138" s="229">
        <f>H138*F138</f>
        <v>1575</v>
      </c>
      <c r="K138" s="232" t="s">
        <v>14</v>
      </c>
      <c r="L138" s="229"/>
      <c r="M138" s="229"/>
    </row>
    <row r="139" spans="1:21" ht="13.8" thickBot="1" x14ac:dyDescent="0.3">
      <c r="B139" s="226"/>
      <c r="C139" s="226" t="s">
        <v>297</v>
      </c>
      <c r="D139" s="232">
        <f>F171/2</f>
        <v>48.5</v>
      </c>
      <c r="E139" s="226" t="s">
        <v>9</v>
      </c>
      <c r="F139" s="96">
        <f>+D139*8</f>
        <v>388</v>
      </c>
      <c r="G139" s="228" t="s">
        <v>20</v>
      </c>
      <c r="H139" s="96">
        <v>0.83</v>
      </c>
      <c r="I139" s="232" t="s">
        <v>5</v>
      </c>
      <c r="J139" s="229">
        <f>H139*F139</f>
        <v>322.03999999999996</v>
      </c>
      <c r="K139" s="232" t="s">
        <v>14</v>
      </c>
      <c r="L139" s="229"/>
      <c r="M139" s="229"/>
    </row>
    <row r="140" spans="1:21" ht="13.8" thickBot="1" x14ac:dyDescent="0.3">
      <c r="B140" s="226"/>
      <c r="C140" s="226" t="s">
        <v>298</v>
      </c>
      <c r="D140" s="232">
        <f>D139</f>
        <v>48.5</v>
      </c>
      <c r="E140" s="226" t="s">
        <v>9</v>
      </c>
      <c r="F140" s="96">
        <v>11.88</v>
      </c>
      <c r="G140" s="228" t="s">
        <v>21</v>
      </c>
      <c r="H140" s="96">
        <v>4</v>
      </c>
      <c r="I140" s="232" t="s">
        <v>6</v>
      </c>
      <c r="J140" s="229">
        <f t="shared" ref="J140:J144" si="15">H140*F140</f>
        <v>47.52</v>
      </c>
      <c r="K140" s="232" t="s">
        <v>14</v>
      </c>
      <c r="L140" s="229"/>
      <c r="M140" s="229"/>
    </row>
    <row r="141" spans="1:21" ht="13.8" thickBot="1" x14ac:dyDescent="0.3">
      <c r="B141" s="226"/>
      <c r="C141" s="226" t="s">
        <v>19</v>
      </c>
      <c r="D141" s="229"/>
      <c r="E141" s="232"/>
      <c r="F141" s="96">
        <v>200</v>
      </c>
      <c r="G141" s="228" t="s">
        <v>20</v>
      </c>
      <c r="H141" s="96">
        <v>1.53</v>
      </c>
      <c r="I141" s="232" t="s">
        <v>5</v>
      </c>
      <c r="J141" s="229">
        <f t="shared" si="15"/>
        <v>306</v>
      </c>
      <c r="K141" s="232" t="s">
        <v>14</v>
      </c>
      <c r="L141" s="229"/>
      <c r="M141" s="229"/>
    </row>
    <row r="142" spans="1:21" ht="13.8" thickBot="1" x14ac:dyDescent="0.3">
      <c r="B142" s="226"/>
      <c r="C142" s="226" t="s">
        <v>299</v>
      </c>
      <c r="D142" s="229"/>
      <c r="E142" s="232"/>
      <c r="F142" s="96"/>
      <c r="G142" s="228" t="s">
        <v>20</v>
      </c>
      <c r="H142" s="96"/>
      <c r="I142" s="232" t="s">
        <v>5</v>
      </c>
      <c r="J142" s="229">
        <f t="shared" si="15"/>
        <v>0</v>
      </c>
      <c r="K142" s="232" t="s">
        <v>14</v>
      </c>
      <c r="L142" s="229"/>
      <c r="M142" s="229"/>
    </row>
    <row r="143" spans="1:21" ht="13.8" thickBot="1" x14ac:dyDescent="0.3">
      <c r="B143" s="226"/>
      <c r="C143" s="226" t="s">
        <v>300</v>
      </c>
      <c r="D143" s="229"/>
      <c r="E143" s="232"/>
      <c r="F143" s="96"/>
      <c r="G143" s="228"/>
      <c r="H143" s="96"/>
      <c r="I143" s="232"/>
      <c r="J143" s="229">
        <f t="shared" si="15"/>
        <v>0</v>
      </c>
      <c r="K143" s="232" t="s">
        <v>14</v>
      </c>
      <c r="L143" s="229"/>
      <c r="M143" s="229"/>
    </row>
    <row r="144" spans="1:21" ht="13.8" thickBot="1" x14ac:dyDescent="0.3">
      <c r="B144" s="229"/>
      <c r="C144" s="226" t="s">
        <v>300</v>
      </c>
      <c r="D144" s="229"/>
      <c r="E144" s="229"/>
      <c r="F144" s="96"/>
      <c r="G144" s="229"/>
      <c r="H144" s="96"/>
      <c r="I144" s="229"/>
      <c r="J144" s="229">
        <f t="shared" si="15"/>
        <v>0</v>
      </c>
      <c r="K144" s="232" t="s">
        <v>14</v>
      </c>
      <c r="L144" s="229"/>
      <c r="M144" s="229"/>
    </row>
    <row r="145" spans="1:21" s="8" customFormat="1" x14ac:dyDescent="0.25">
      <c r="A145" s="369"/>
      <c r="B145" s="260"/>
      <c r="C145" s="260" t="s">
        <v>196</v>
      </c>
      <c r="D145" s="260"/>
      <c r="E145" s="260"/>
      <c r="F145" s="261"/>
      <c r="G145" s="260"/>
      <c r="H145" s="261"/>
      <c r="I145" s="260"/>
      <c r="J145" s="260">
        <f>SUM(J138:J144)</f>
        <v>2250.56</v>
      </c>
      <c r="K145" s="262" t="s">
        <v>14</v>
      </c>
      <c r="L145" s="260"/>
      <c r="M145" s="260"/>
    </row>
    <row r="146" spans="1:21" x14ac:dyDescent="0.25">
      <c r="B146" s="229"/>
      <c r="C146" s="229"/>
      <c r="D146" s="229"/>
      <c r="E146" s="229"/>
      <c r="F146" s="229"/>
      <c r="G146" s="229"/>
      <c r="H146" s="229"/>
      <c r="I146" s="229"/>
      <c r="J146" s="229"/>
      <c r="K146" s="229"/>
      <c r="L146" s="229"/>
      <c r="M146" s="229"/>
    </row>
    <row r="148" spans="1:21" ht="15.6" x14ac:dyDescent="0.3">
      <c r="B148" s="112" t="s">
        <v>301</v>
      </c>
      <c r="C148" s="101"/>
      <c r="D148" s="101"/>
      <c r="E148" s="101"/>
      <c r="F148" s="101"/>
      <c r="G148" s="101"/>
      <c r="H148" s="101"/>
      <c r="I148" s="101"/>
      <c r="J148" s="101"/>
      <c r="K148" s="101"/>
      <c r="L148" s="101"/>
      <c r="M148" s="101"/>
    </row>
    <row r="149" spans="1:21" ht="15.6" x14ac:dyDescent="0.3">
      <c r="B149" s="112"/>
      <c r="C149" s="101"/>
      <c r="D149" s="101"/>
      <c r="E149" s="101"/>
      <c r="F149" s="101"/>
      <c r="G149" s="101"/>
      <c r="H149" s="101"/>
      <c r="I149" s="101"/>
      <c r="J149" s="101"/>
      <c r="K149" s="101"/>
      <c r="L149" s="101"/>
      <c r="M149" s="101"/>
    </row>
    <row r="150" spans="1:21" ht="40.049999999999997" customHeight="1" x14ac:dyDescent="0.25">
      <c r="B150" s="961" t="s">
        <v>302</v>
      </c>
      <c r="C150" s="961"/>
      <c r="D150" s="961"/>
      <c r="E150" s="961"/>
      <c r="F150" s="961"/>
      <c r="G150" s="961"/>
      <c r="H150" s="961"/>
      <c r="I150" s="961"/>
      <c r="J150" s="961"/>
      <c r="K150" s="961"/>
      <c r="L150" s="961"/>
      <c r="M150" s="961"/>
    </row>
    <row r="151" spans="1:21" s="8" customFormat="1" ht="15.6" x14ac:dyDescent="0.3">
      <c r="A151" s="369"/>
      <c r="B151" s="112"/>
      <c r="C151" s="101"/>
      <c r="D151" s="101"/>
      <c r="E151" s="834"/>
      <c r="F151" s="834"/>
      <c r="G151" s="834"/>
      <c r="H151" s="835"/>
      <c r="I151" s="835"/>
      <c r="J151" s="834"/>
      <c r="K151" s="834"/>
      <c r="L151" s="835"/>
      <c r="M151" s="835"/>
      <c r="N151"/>
      <c r="O151"/>
      <c r="P151"/>
      <c r="Q151"/>
      <c r="R151"/>
      <c r="S151"/>
      <c r="T151"/>
      <c r="U151"/>
    </row>
    <row r="152" spans="1:21" ht="15.6" x14ac:dyDescent="0.3">
      <c r="B152" s="112"/>
      <c r="C152" s="101"/>
      <c r="D152" s="101"/>
      <c r="E152" s="962" t="s">
        <v>303</v>
      </c>
      <c r="F152" s="962"/>
      <c r="G152" s="962"/>
      <c r="H152" s="963" t="s">
        <v>158</v>
      </c>
      <c r="I152" s="963"/>
      <c r="J152" s="963" t="s">
        <v>304</v>
      </c>
      <c r="K152" s="963"/>
      <c r="L152" s="963" t="s">
        <v>158</v>
      </c>
      <c r="M152" s="963"/>
    </row>
    <row r="153" spans="1:21" ht="33" customHeight="1" thickBot="1" x14ac:dyDescent="0.3">
      <c r="B153" s="100"/>
      <c r="C153" s="101"/>
      <c r="D153" s="101"/>
      <c r="E153" s="101"/>
      <c r="F153" s="101"/>
      <c r="G153" s="101"/>
      <c r="H153" s="101"/>
      <c r="I153" s="101"/>
      <c r="J153" s="101"/>
      <c r="K153" s="101"/>
      <c r="L153" s="101"/>
      <c r="M153" s="101"/>
      <c r="N153" s="8"/>
      <c r="O153" s="8"/>
      <c r="P153" s="8"/>
      <c r="Q153" s="8"/>
      <c r="R153" s="8"/>
      <c r="S153" s="8"/>
      <c r="T153" s="8"/>
      <c r="U153" s="8"/>
    </row>
    <row r="154" spans="1:21" ht="13.8" thickBot="1" x14ac:dyDescent="0.3">
      <c r="B154" s="101"/>
      <c r="C154" s="102" t="s">
        <v>322</v>
      </c>
      <c r="D154" s="101"/>
      <c r="E154" s="101"/>
      <c r="F154" s="115">
        <v>2</v>
      </c>
      <c r="G154" s="104" t="s">
        <v>22</v>
      </c>
      <c r="H154" s="117">
        <v>14.5</v>
      </c>
      <c r="I154" s="104" t="s">
        <v>11</v>
      </c>
      <c r="J154" s="116"/>
      <c r="K154" s="104" t="s">
        <v>22</v>
      </c>
      <c r="L154" s="117">
        <v>14.5</v>
      </c>
      <c r="M154" s="104" t="s">
        <v>11</v>
      </c>
    </row>
    <row r="155" spans="1:21" ht="13.8" thickBot="1" x14ac:dyDescent="0.3">
      <c r="B155" s="101"/>
      <c r="C155" s="102" t="s">
        <v>321</v>
      </c>
      <c r="D155" s="101"/>
      <c r="E155" s="101"/>
      <c r="F155" s="115">
        <v>2</v>
      </c>
      <c r="G155" s="104" t="s">
        <v>22</v>
      </c>
      <c r="H155" s="114">
        <f>$H$154</f>
        <v>14.5</v>
      </c>
      <c r="I155" s="104" t="s">
        <v>11</v>
      </c>
      <c r="J155" s="116"/>
      <c r="K155" s="104" t="s">
        <v>22</v>
      </c>
      <c r="L155" s="114">
        <f>$L$154</f>
        <v>14.5</v>
      </c>
      <c r="M155" s="104" t="s">
        <v>11</v>
      </c>
    </row>
    <row r="156" spans="1:21" ht="13.8" thickBot="1" x14ac:dyDescent="0.3">
      <c r="B156" s="101"/>
      <c r="C156" s="102" t="s">
        <v>323</v>
      </c>
      <c r="D156" s="101"/>
      <c r="E156" s="101"/>
      <c r="F156" s="115">
        <v>2</v>
      </c>
      <c r="G156" s="104" t="s">
        <v>22</v>
      </c>
      <c r="H156" s="114">
        <f t="shared" ref="H156:H170" si="16">$H$154</f>
        <v>14.5</v>
      </c>
      <c r="I156" s="104" t="s">
        <v>11</v>
      </c>
      <c r="J156" s="116"/>
      <c r="K156" s="104" t="s">
        <v>22</v>
      </c>
      <c r="L156" s="114">
        <f t="shared" ref="L156:L169" si="17">$L$154</f>
        <v>14.5</v>
      </c>
      <c r="M156" s="104" t="s">
        <v>11</v>
      </c>
    </row>
    <row r="157" spans="1:21" ht="13.8" thickBot="1" x14ac:dyDescent="0.3">
      <c r="B157" s="101"/>
      <c r="C157" s="102" t="s">
        <v>311</v>
      </c>
      <c r="D157" s="101"/>
      <c r="E157" s="101"/>
      <c r="F157" s="115">
        <v>4</v>
      </c>
      <c r="G157" s="104" t="s">
        <v>22</v>
      </c>
      <c r="H157" s="114">
        <f t="shared" si="16"/>
        <v>14.5</v>
      </c>
      <c r="I157" s="104" t="s">
        <v>11</v>
      </c>
      <c r="J157" s="116">
        <v>4</v>
      </c>
      <c r="K157" s="104" t="s">
        <v>22</v>
      </c>
      <c r="L157" s="114">
        <f t="shared" si="17"/>
        <v>14.5</v>
      </c>
      <c r="M157" s="104" t="s">
        <v>11</v>
      </c>
    </row>
    <row r="158" spans="1:21" ht="13.8" thickBot="1" x14ac:dyDescent="0.3">
      <c r="B158" s="101"/>
      <c r="C158" s="102" t="s">
        <v>312</v>
      </c>
      <c r="D158" s="101"/>
      <c r="E158" s="101"/>
      <c r="F158" s="115">
        <v>8</v>
      </c>
      <c r="G158" s="104" t="s">
        <v>22</v>
      </c>
      <c r="H158" s="114">
        <f t="shared" si="16"/>
        <v>14.5</v>
      </c>
      <c r="I158" s="104" t="s">
        <v>11</v>
      </c>
      <c r="J158" s="116"/>
      <c r="K158" s="104" t="s">
        <v>22</v>
      </c>
      <c r="L158" s="114">
        <f t="shared" si="17"/>
        <v>14.5</v>
      </c>
      <c r="M158" s="104" t="s">
        <v>11</v>
      </c>
    </row>
    <row r="159" spans="1:21" ht="13.8" thickBot="1" x14ac:dyDescent="0.3">
      <c r="B159" s="101"/>
      <c r="C159" s="102" t="s">
        <v>315</v>
      </c>
      <c r="D159" s="101"/>
      <c r="E159" s="101"/>
      <c r="F159" s="115">
        <v>4</v>
      </c>
      <c r="G159" s="104" t="s">
        <v>22</v>
      </c>
      <c r="H159" s="114">
        <f t="shared" si="16"/>
        <v>14.5</v>
      </c>
      <c r="I159" s="104" t="s">
        <v>11</v>
      </c>
      <c r="J159" s="116"/>
      <c r="K159" s="104" t="s">
        <v>22</v>
      </c>
      <c r="L159" s="114">
        <f t="shared" si="17"/>
        <v>14.5</v>
      </c>
      <c r="M159" s="104" t="s">
        <v>11</v>
      </c>
    </row>
    <row r="160" spans="1:21" s="8" customFormat="1" ht="13.8" thickBot="1" x14ac:dyDescent="0.3">
      <c r="A160" s="369"/>
      <c r="B160" s="101"/>
      <c r="C160" s="102" t="s">
        <v>313</v>
      </c>
      <c r="D160" s="101"/>
      <c r="E160" s="101"/>
      <c r="F160" s="115">
        <v>20</v>
      </c>
      <c r="G160" s="104" t="s">
        <v>22</v>
      </c>
      <c r="H160" s="114">
        <f t="shared" si="16"/>
        <v>14.5</v>
      </c>
      <c r="I160" s="104" t="s">
        <v>11</v>
      </c>
      <c r="J160" s="116"/>
      <c r="K160" s="104" t="s">
        <v>22</v>
      </c>
      <c r="L160" s="114">
        <f t="shared" si="17"/>
        <v>14.5</v>
      </c>
      <c r="M160" s="104" t="s">
        <v>11</v>
      </c>
      <c r="N160"/>
      <c r="O160"/>
      <c r="P160"/>
      <c r="Q160"/>
      <c r="R160"/>
      <c r="S160"/>
      <c r="T160"/>
      <c r="U160"/>
    </row>
    <row r="161" spans="2:21" ht="13.8" thickBot="1" x14ac:dyDescent="0.3">
      <c r="B161" s="101"/>
      <c r="C161" s="102" t="s">
        <v>314</v>
      </c>
      <c r="D161" s="101"/>
      <c r="E161" s="101"/>
      <c r="F161" s="115">
        <v>4</v>
      </c>
      <c r="G161" s="104" t="s">
        <v>22</v>
      </c>
      <c r="H161" s="114">
        <f t="shared" si="16"/>
        <v>14.5</v>
      </c>
      <c r="I161" s="104" t="s">
        <v>11</v>
      </c>
      <c r="J161" s="116"/>
      <c r="K161" s="104" t="s">
        <v>22</v>
      </c>
      <c r="L161" s="114">
        <f t="shared" si="17"/>
        <v>14.5</v>
      </c>
      <c r="M161" s="104" t="s">
        <v>11</v>
      </c>
    </row>
    <row r="162" spans="2:21" ht="13.8" thickBot="1" x14ac:dyDescent="0.3">
      <c r="B162" s="101"/>
      <c r="C162" s="102" t="s">
        <v>316</v>
      </c>
      <c r="D162" s="101"/>
      <c r="E162" s="101"/>
      <c r="F162" s="115">
        <v>3</v>
      </c>
      <c r="G162" s="104" t="s">
        <v>22</v>
      </c>
      <c r="H162" s="114">
        <f t="shared" si="16"/>
        <v>14.5</v>
      </c>
      <c r="I162" s="104" t="s">
        <v>11</v>
      </c>
      <c r="J162" s="116"/>
      <c r="K162" s="104" t="s">
        <v>22</v>
      </c>
      <c r="L162" s="114">
        <f t="shared" si="17"/>
        <v>14.5</v>
      </c>
      <c r="M162" s="104" t="s">
        <v>11</v>
      </c>
    </row>
    <row r="163" spans="2:21" ht="13.8" thickBot="1" x14ac:dyDescent="0.3">
      <c r="B163" s="101"/>
      <c r="C163" s="102" t="s">
        <v>317</v>
      </c>
      <c r="D163" s="101"/>
      <c r="E163" s="101"/>
      <c r="F163" s="115">
        <v>5</v>
      </c>
      <c r="G163" s="104" t="s">
        <v>22</v>
      </c>
      <c r="H163" s="114">
        <f t="shared" si="16"/>
        <v>14.5</v>
      </c>
      <c r="I163" s="104" t="s">
        <v>11</v>
      </c>
      <c r="J163" s="116">
        <v>10</v>
      </c>
      <c r="K163" s="104" t="s">
        <v>22</v>
      </c>
      <c r="L163" s="114">
        <f t="shared" si="17"/>
        <v>14.5</v>
      </c>
      <c r="M163" s="104" t="s">
        <v>11</v>
      </c>
    </row>
    <row r="164" spans="2:21" ht="13.8" thickBot="1" x14ac:dyDescent="0.3">
      <c r="B164" s="101"/>
      <c r="C164" s="102" t="s">
        <v>132</v>
      </c>
      <c r="D164" s="101"/>
      <c r="E164" s="101"/>
      <c r="F164" s="115">
        <v>5</v>
      </c>
      <c r="G164" s="104" t="s">
        <v>22</v>
      </c>
      <c r="H164" s="114">
        <f t="shared" si="16"/>
        <v>14.5</v>
      </c>
      <c r="I164" s="104" t="s">
        <v>11</v>
      </c>
      <c r="J164" s="116">
        <v>10</v>
      </c>
      <c r="K164" s="104" t="s">
        <v>22</v>
      </c>
      <c r="L164" s="114">
        <f t="shared" si="17"/>
        <v>14.5</v>
      </c>
      <c r="M164" s="104" t="s">
        <v>11</v>
      </c>
    </row>
    <row r="165" spans="2:21" ht="13.8" thickBot="1" x14ac:dyDescent="0.3">
      <c r="B165" s="101"/>
      <c r="C165" s="102" t="s">
        <v>318</v>
      </c>
      <c r="D165" s="101"/>
      <c r="E165" s="101"/>
      <c r="F165" s="115">
        <v>8</v>
      </c>
      <c r="G165" s="104" t="s">
        <v>22</v>
      </c>
      <c r="H165" s="114">
        <f t="shared" si="16"/>
        <v>14.5</v>
      </c>
      <c r="I165" s="104" t="s">
        <v>11</v>
      </c>
      <c r="J165" s="116"/>
      <c r="K165" s="104" t="s">
        <v>22</v>
      </c>
      <c r="L165" s="114">
        <f t="shared" si="17"/>
        <v>14.5</v>
      </c>
      <c r="M165" s="104" t="s">
        <v>11</v>
      </c>
    </row>
    <row r="166" spans="2:21" ht="13.8" thickBot="1" x14ac:dyDescent="0.3">
      <c r="B166" s="101"/>
      <c r="C166" s="102" t="s">
        <v>319</v>
      </c>
      <c r="D166" s="101"/>
      <c r="E166" s="101"/>
      <c r="F166" s="116">
        <v>20</v>
      </c>
      <c r="G166" s="104" t="s">
        <v>22</v>
      </c>
      <c r="H166" s="114">
        <f t="shared" si="16"/>
        <v>14.5</v>
      </c>
      <c r="I166" s="104" t="s">
        <v>11</v>
      </c>
      <c r="J166" s="116">
        <v>30</v>
      </c>
      <c r="K166" s="104" t="s">
        <v>22</v>
      </c>
      <c r="L166" s="114">
        <f t="shared" si="17"/>
        <v>14.5</v>
      </c>
      <c r="M166" s="104" t="s">
        <v>11</v>
      </c>
    </row>
    <row r="167" spans="2:21" ht="13.8" thickBot="1" x14ac:dyDescent="0.3">
      <c r="B167" s="101"/>
      <c r="C167" s="102" t="s">
        <v>306</v>
      </c>
      <c r="D167" s="101"/>
      <c r="E167" s="101"/>
      <c r="F167" s="116">
        <v>10</v>
      </c>
      <c r="G167" s="104" t="s">
        <v>22</v>
      </c>
      <c r="H167" s="114">
        <f t="shared" si="16"/>
        <v>14.5</v>
      </c>
      <c r="I167" s="104" t="s">
        <v>11</v>
      </c>
      <c r="J167" s="116"/>
      <c r="K167" s="104" t="s">
        <v>22</v>
      </c>
      <c r="L167" s="114">
        <f t="shared" si="17"/>
        <v>14.5</v>
      </c>
      <c r="M167" s="104" t="s">
        <v>11</v>
      </c>
    </row>
    <row r="168" spans="2:21" ht="13.8" thickBot="1" x14ac:dyDescent="0.3">
      <c r="B168" s="101"/>
      <c r="C168" s="102" t="s">
        <v>305</v>
      </c>
      <c r="D168" s="101"/>
      <c r="E168" s="101"/>
      <c r="F168" s="116"/>
      <c r="G168" s="104" t="s">
        <v>22</v>
      </c>
      <c r="H168" s="114">
        <f t="shared" si="16"/>
        <v>14.5</v>
      </c>
      <c r="I168" s="104" t="s">
        <v>11</v>
      </c>
      <c r="J168" s="97"/>
      <c r="K168" s="104" t="s">
        <v>22</v>
      </c>
      <c r="L168" s="114">
        <f t="shared" si="17"/>
        <v>14.5</v>
      </c>
      <c r="M168" s="104" t="s">
        <v>11</v>
      </c>
    </row>
    <row r="169" spans="2:21" ht="13.8" thickBot="1" x14ac:dyDescent="0.3">
      <c r="B169" s="101"/>
      <c r="C169" s="102" t="s">
        <v>305</v>
      </c>
      <c r="D169" s="101"/>
      <c r="E169" s="101"/>
      <c r="F169" s="116"/>
      <c r="G169" s="104" t="s">
        <v>22</v>
      </c>
      <c r="H169" s="114">
        <f t="shared" si="16"/>
        <v>14.5</v>
      </c>
      <c r="I169" s="104" t="s">
        <v>11</v>
      </c>
      <c r="J169" s="97"/>
      <c r="K169" s="104" t="s">
        <v>22</v>
      </c>
      <c r="L169" s="114">
        <f t="shared" si="17"/>
        <v>14.5</v>
      </c>
      <c r="M169" s="104" t="s">
        <v>11</v>
      </c>
    </row>
    <row r="170" spans="2:21" ht="13.8" thickBot="1" x14ac:dyDescent="0.3">
      <c r="B170" s="101"/>
      <c r="C170" s="102" t="s">
        <v>305</v>
      </c>
      <c r="D170" s="103"/>
      <c r="E170" s="103"/>
      <c r="F170" s="97"/>
      <c r="G170" s="104" t="s">
        <v>22</v>
      </c>
      <c r="H170" s="114">
        <f t="shared" si="16"/>
        <v>14.5</v>
      </c>
      <c r="I170" s="104" t="s">
        <v>11</v>
      </c>
      <c r="J170" s="97"/>
      <c r="K170" s="104" t="s">
        <v>22</v>
      </c>
      <c r="L170" s="114">
        <f>$L$154</f>
        <v>14.5</v>
      </c>
      <c r="M170" s="104" t="s">
        <v>11</v>
      </c>
    </row>
    <row r="171" spans="2:21" x14ac:dyDescent="0.25">
      <c r="B171" s="264"/>
      <c r="C171" s="265" t="s">
        <v>196</v>
      </c>
      <c r="D171" s="266"/>
      <c r="E171" s="266"/>
      <c r="F171" s="267">
        <f>SUM(F154:F170)</f>
        <v>97</v>
      </c>
      <c r="G171" s="264" t="s">
        <v>22</v>
      </c>
      <c r="H171" s="268">
        <f>F171*H154</f>
        <v>1406.5</v>
      </c>
      <c r="I171" s="264" t="s">
        <v>14</v>
      </c>
      <c r="J171" s="269">
        <f>SUM(J154:J170)</f>
        <v>54</v>
      </c>
      <c r="K171" s="264" t="s">
        <v>22</v>
      </c>
      <c r="L171" s="268">
        <f>J171*L154</f>
        <v>783</v>
      </c>
      <c r="M171" s="264" t="s">
        <v>14</v>
      </c>
    </row>
    <row r="173" spans="2:21" ht="40.049999999999997" customHeight="1" x14ac:dyDescent="0.25">
      <c r="N173" s="8"/>
      <c r="O173" s="8"/>
      <c r="P173" s="8"/>
      <c r="Q173" s="8"/>
      <c r="R173" s="8"/>
      <c r="S173" s="8"/>
      <c r="T173" s="8"/>
      <c r="U173" s="8"/>
    </row>
    <row r="176" spans="2:21" ht="37.950000000000003" customHeight="1" x14ac:dyDescent="0.25"/>
    <row r="188" spans="1:21" s="8" customFormat="1" x14ac:dyDescent="0.25">
      <c r="A188" s="369"/>
      <c r="B188"/>
      <c r="C188"/>
      <c r="D188"/>
      <c r="E188"/>
      <c r="F188"/>
      <c r="G188"/>
      <c r="H188"/>
      <c r="I188"/>
      <c r="J188"/>
      <c r="K188"/>
      <c r="L188"/>
      <c r="M188"/>
      <c r="N188"/>
      <c r="O188"/>
      <c r="P188"/>
      <c r="Q188"/>
      <c r="R188"/>
      <c r="S188"/>
      <c r="T188"/>
      <c r="U188"/>
    </row>
    <row r="190" spans="1:21" x14ac:dyDescent="0.25">
      <c r="N190" s="8"/>
      <c r="O190" s="8"/>
      <c r="P190" s="8"/>
      <c r="Q190" s="8"/>
      <c r="R190" s="8"/>
      <c r="S190" s="8"/>
      <c r="T190" s="8"/>
      <c r="U190" s="8"/>
    </row>
  </sheetData>
  <mergeCells count="45">
    <mergeCell ref="F128:G128"/>
    <mergeCell ref="H128:I128"/>
    <mergeCell ref="J128:K128"/>
    <mergeCell ref="B150:M150"/>
    <mergeCell ref="E152:G152"/>
    <mergeCell ref="H152:I152"/>
    <mergeCell ref="J152:K152"/>
    <mergeCell ref="L152:M152"/>
    <mergeCell ref="F107:G107"/>
    <mergeCell ref="H107:I107"/>
    <mergeCell ref="J107:K107"/>
    <mergeCell ref="F120:G120"/>
    <mergeCell ref="H120:I120"/>
    <mergeCell ref="J120:K120"/>
    <mergeCell ref="F76:G76"/>
    <mergeCell ref="H76:I76"/>
    <mergeCell ref="J76:K76"/>
    <mergeCell ref="F86:G86"/>
    <mergeCell ref="H86:I86"/>
    <mergeCell ref="J86:K86"/>
    <mergeCell ref="B62:D62"/>
    <mergeCell ref="B66:D66"/>
    <mergeCell ref="B69:E69"/>
    <mergeCell ref="L69:M69"/>
    <mergeCell ref="F71:G71"/>
    <mergeCell ref="H71:I71"/>
    <mergeCell ref="J71:K71"/>
    <mergeCell ref="B64:D64"/>
    <mergeCell ref="B57:D57"/>
    <mergeCell ref="B26:E26"/>
    <mergeCell ref="B27:E27"/>
    <mergeCell ref="B28:D28"/>
    <mergeCell ref="B31:C31"/>
    <mergeCell ref="C34:D34"/>
    <mergeCell ref="B38:D38"/>
    <mergeCell ref="C41:D41"/>
    <mergeCell ref="B45:D45"/>
    <mergeCell ref="C48:D48"/>
    <mergeCell ref="B52:C52"/>
    <mergeCell ref="C55:D55"/>
    <mergeCell ref="O18:Q18"/>
    <mergeCell ref="B4:L4"/>
    <mergeCell ref="O9:Q9"/>
    <mergeCell ref="T9:U9"/>
    <mergeCell ref="B11:D11"/>
  </mergeCells>
  <hyperlinks>
    <hyperlink ref="L69" location="'Avomaan mansikka'!B2" display="PALAA SIVUN YLÄLAITAAN" xr:uid="{9B482F55-7C98-7444-BE22-E8589D94AAB9}"/>
    <hyperlink ref="L69:M69" location="Lök!A1" display="TILL SIDANS BÖRJAN" xr:uid="{E0789D1E-0FB4-E14F-B3F4-CB5C13BE06C7}"/>
    <hyperlink ref="B31:C31" location="Ägendom!B13" display="BYGGNADER" xr:uid="{D3FA89AD-587D-499D-A0A8-A949C5E919BF}"/>
    <hyperlink ref="B38:D38" location="Ägendom!B27" display="MASKINER OCH UTRUSTNING" xr:uid="{01CA38DB-0BB6-433C-901E-7F4705DEFDF0}"/>
    <hyperlink ref="B45:D45" location="Ägendom!B56" display="LÅNGVARIGA PRODUKTIONSMEDEL" xr:uid="{252CDBD3-CF75-4EAF-BED6-787FA1C33A2F}"/>
    <hyperlink ref="B52:C52" location="Ägendom!B79" display="TÄCKDIKEN" xr:uid="{C476C00B-7E10-4F1A-963A-A19DAEC17370}"/>
    <hyperlink ref="B2" location="'Gårdens info'!A1" display="ÅTERGÅ TILL FRAMSIDAN" xr:uid="{BD7F4673-DFFE-4CE2-AEE4-52BC849A8435}"/>
    <hyperlink ref="B26:E26" location="'Gårdens info'!A131" display="ALLMÄNNA KOSTNADER, lökens andel" xr:uid="{D3013BC2-405B-4605-8520-7653DAD934F5}"/>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490DAA-BCAD-F34B-A4E2-B70FBDF34814}">
  <sheetPr>
    <tabColor theme="6" tint="-0.249977111117893"/>
  </sheetPr>
  <dimension ref="A1:AC188"/>
  <sheetViews>
    <sheetView topLeftCell="A127" workbookViewId="0"/>
  </sheetViews>
  <sheetFormatPr defaultColWidth="11.44140625" defaultRowHeight="13.2" x14ac:dyDescent="0.25"/>
  <cols>
    <col min="1" max="1" width="5.33203125" style="707" customWidth="1"/>
    <col min="3" max="3" width="16.77734375" customWidth="1"/>
    <col min="4" max="4" width="22.6640625" customWidth="1"/>
    <col min="5" max="5" width="12.109375" bestFit="1" customWidth="1"/>
    <col min="6" max="6" width="20.6640625" bestFit="1" customWidth="1"/>
    <col min="7" max="7" width="6.33203125" customWidth="1"/>
    <col min="9" max="9" width="6" customWidth="1"/>
    <col min="10" max="10" width="15.109375" customWidth="1"/>
    <col min="11" max="11" width="9.6640625" customWidth="1"/>
    <col min="12" max="12" width="20" customWidth="1"/>
    <col min="13" max="13" width="12.109375" customWidth="1"/>
    <col min="14" max="14" width="9.44140625" customWidth="1"/>
    <col min="15" max="15" width="6.77734375" customWidth="1"/>
    <col min="16" max="16" width="4.44140625" customWidth="1"/>
    <col min="17" max="17" width="15" customWidth="1"/>
    <col min="18" max="18" width="5.109375" customWidth="1"/>
    <col min="19" max="19" width="18.33203125" bestFit="1" customWidth="1"/>
  </cols>
  <sheetData>
    <row r="1" spans="1:21" s="707" customFormat="1" ht="22.8" x14ac:dyDescent="0.4">
      <c r="B1" s="715" t="s">
        <v>359</v>
      </c>
    </row>
    <row r="2" spans="1:21" ht="27" customHeight="1" x14ac:dyDescent="0.3">
      <c r="B2" s="852" t="s">
        <v>337</v>
      </c>
      <c r="F2" s="91"/>
      <c r="G2" s="91"/>
      <c r="H2" s="91"/>
    </row>
    <row r="3" spans="1:21" ht="27" customHeight="1" x14ac:dyDescent="0.3">
      <c r="B3" s="839"/>
      <c r="C3" s="839"/>
    </row>
    <row r="4" spans="1:21" ht="40.049999999999997" customHeight="1" x14ac:dyDescent="0.3">
      <c r="B4" s="942" t="s">
        <v>236</v>
      </c>
      <c r="C4" s="942"/>
      <c r="D4" s="942"/>
      <c r="E4" s="942"/>
      <c r="F4" s="942"/>
      <c r="G4" s="942"/>
      <c r="H4" s="942"/>
      <c r="I4" s="942"/>
      <c r="J4" s="942"/>
      <c r="K4" s="942"/>
      <c r="L4" s="942"/>
    </row>
    <row r="5" spans="1:21" ht="27" customHeight="1" thickBot="1" x14ac:dyDescent="0.35">
      <c r="B5" s="693"/>
      <c r="C5" s="693"/>
    </row>
    <row r="6" spans="1:21" ht="27" customHeight="1" x14ac:dyDescent="0.4">
      <c r="B6" s="318" t="s">
        <v>254</v>
      </c>
      <c r="C6" s="282"/>
      <c r="D6" s="283"/>
      <c r="E6" s="283"/>
      <c r="F6" s="283"/>
      <c r="G6" s="283"/>
      <c r="H6" s="283"/>
      <c r="I6" s="283"/>
      <c r="J6" s="283"/>
      <c r="K6" s="283"/>
      <c r="L6" s="283"/>
      <c r="M6" s="284"/>
      <c r="N6" s="441"/>
      <c r="O6" s="283"/>
      <c r="P6" s="283"/>
      <c r="Q6" s="283"/>
      <c r="R6" s="283"/>
      <c r="S6" s="283"/>
      <c r="T6" s="283"/>
      <c r="U6" s="284"/>
    </row>
    <row r="7" spans="1:21" ht="27" customHeight="1" x14ac:dyDescent="0.4">
      <c r="B7" s="285"/>
      <c r="C7" s="286"/>
      <c r="D7" s="148"/>
      <c r="E7" s="148"/>
      <c r="F7" s="148"/>
      <c r="G7" s="148"/>
      <c r="H7" s="148"/>
      <c r="I7" s="148"/>
      <c r="J7" s="148"/>
      <c r="K7" s="148"/>
      <c r="L7" s="148"/>
      <c r="M7" s="287"/>
      <c r="N7" s="442"/>
      <c r="O7" s="148"/>
      <c r="P7" s="148"/>
      <c r="Q7" s="148"/>
      <c r="R7" s="148"/>
      <c r="S7" s="148"/>
      <c r="T7" s="148"/>
      <c r="U7" s="287"/>
    </row>
    <row r="8" spans="1:21" ht="21" x14ac:dyDescent="0.4">
      <c r="B8" s="319" t="s">
        <v>238</v>
      </c>
      <c r="C8" s="286"/>
      <c r="D8" s="148"/>
      <c r="E8" s="151"/>
      <c r="F8" s="151"/>
      <c r="G8" s="151"/>
      <c r="H8" s="151"/>
      <c r="I8" s="148"/>
      <c r="J8" s="148"/>
      <c r="K8" s="148"/>
      <c r="L8" s="148"/>
      <c r="M8" s="287"/>
      <c r="N8" s="319" t="s">
        <v>239</v>
      </c>
      <c r="O8" s="148"/>
      <c r="P8" s="148"/>
      <c r="Q8" s="148"/>
      <c r="R8" s="148"/>
      <c r="S8" s="148"/>
      <c r="T8" s="148"/>
      <c r="U8" s="300"/>
    </row>
    <row r="9" spans="1:21" ht="21" customHeight="1" thickBot="1" x14ac:dyDescent="0.35">
      <c r="B9" s="288"/>
      <c r="C9" s="289" t="s">
        <v>239</v>
      </c>
      <c r="D9" s="151"/>
      <c r="E9" s="151"/>
      <c r="F9" s="290">
        <f>IF('Gårdens info'!D13&gt;0,H9*'Gårdens info'!G13,0)</f>
        <v>15200</v>
      </c>
      <c r="G9" s="151" t="s">
        <v>14</v>
      </c>
      <c r="H9" s="619">
        <f>IF('Gårdens info'!G13&gt;0,(('Gårdens info'!D13*'Gårdens info'!G13*S10*T10)+('Gårdens info'!D13*'Gårdens info'!G13*S11*T11)+('Gårdens info'!D13*'Gårdens info'!G13*S12*T12)+('Gårdens info'!D13*'Gårdens info'!G13*S13*T13)+('Gårdens info'!D13*'Gårdens info'!G13*S14*T14)+('Gårdens info'!D13*'Gårdens info'!G13*S15*T15)+('Gårdens info'!D13*'Gårdens info'!G13*S16*T16)+('Gårdens info'!D13*'Gårdens info'!G13*S17*T17))/(('Gårdens info'!D13*'Gårdens info'!G13)),0)</f>
        <v>3.8</v>
      </c>
      <c r="I9" s="151" t="s">
        <v>6</v>
      </c>
      <c r="J9" s="290">
        <f>F9*'Gårdens info'!D13</f>
        <v>15200</v>
      </c>
      <c r="K9" s="151" t="s">
        <v>362</v>
      </c>
      <c r="L9" s="151"/>
      <c r="M9" s="287"/>
      <c r="N9" s="442"/>
      <c r="O9" s="943" t="s">
        <v>360</v>
      </c>
      <c r="P9" s="943"/>
      <c r="Q9" s="943"/>
      <c r="R9" s="694"/>
      <c r="S9" s="444" t="s">
        <v>339</v>
      </c>
      <c r="T9" s="967" t="s">
        <v>340</v>
      </c>
      <c r="U9" s="968"/>
    </row>
    <row r="10" spans="1:21" ht="15.6" thickBot="1" x14ac:dyDescent="0.3">
      <c r="B10" s="288"/>
      <c r="C10" s="151" t="s">
        <v>224</v>
      </c>
      <c r="D10" s="151"/>
      <c r="E10" s="151"/>
      <c r="F10" s="290">
        <f>IF('Gårdens info'!D10&gt;0,Stöd!J6/'Gårdens info'!D37*Stöd!L6+Stöd!J7/'Gårdens info'!D37*Stöd!L7+Stöd!J8/'Gårdens info'!D37*Stöd!L8+Stöd!J12/'Gårdens info'!D37*Stöd!L12+Stöd!J16/'Gårdens info'!D37*Stöd!L16+Stöd!J18/'Gårdens info'!D37*Stöd!L18+Stöd!J19/'Gårdens info'!D37*Stöd!L19+Stöd!J20/'Gårdens info'!D37*Stöd!L20+Stöd!J21/'Gårdens info'!D37*Stöd!L21,0)</f>
        <v>0</v>
      </c>
      <c r="G10" s="151" t="s">
        <v>14</v>
      </c>
      <c r="H10" s="619">
        <f>IF('Gårdens info'!G13&gt;0,F10/'Gårdens info'!G13,0)</f>
        <v>0</v>
      </c>
      <c r="I10" s="151" t="s">
        <v>6</v>
      </c>
      <c r="J10" s="290">
        <f>F10*'Gårdens info'!D13</f>
        <v>0</v>
      </c>
      <c r="K10" s="151" t="s">
        <v>362</v>
      </c>
      <c r="L10" s="151"/>
      <c r="M10" s="287"/>
      <c r="N10" s="442"/>
      <c r="O10" s="151">
        <v>1</v>
      </c>
      <c r="P10" s="151" t="s">
        <v>21</v>
      </c>
      <c r="Q10" s="151" t="s">
        <v>361</v>
      </c>
      <c r="R10" s="151"/>
      <c r="S10" s="452">
        <v>1</v>
      </c>
      <c r="T10" s="317">
        <v>3.8</v>
      </c>
      <c r="U10" s="300" t="s">
        <v>6</v>
      </c>
    </row>
    <row r="11" spans="1:21" s="8" customFormat="1" ht="21.6" customHeight="1" thickBot="1" x14ac:dyDescent="0.45">
      <c r="A11" s="708"/>
      <c r="B11" s="932" t="s">
        <v>240</v>
      </c>
      <c r="C11" s="933"/>
      <c r="D11" s="933"/>
      <c r="E11" s="324"/>
      <c r="F11" s="328">
        <f>F9+F10</f>
        <v>15200</v>
      </c>
      <c r="G11" s="329" t="s">
        <v>14</v>
      </c>
      <c r="H11" s="618">
        <f>H9+H10</f>
        <v>3.8</v>
      </c>
      <c r="I11" s="329" t="s">
        <v>6</v>
      </c>
      <c r="J11" s="331">
        <f>J9+J10</f>
        <v>15200</v>
      </c>
      <c r="K11" s="329" t="s">
        <v>362</v>
      </c>
      <c r="L11" s="329"/>
      <c r="M11" s="321"/>
      <c r="N11" s="445"/>
      <c r="O11" s="151">
        <v>0.25</v>
      </c>
      <c r="P11" s="151" t="s">
        <v>21</v>
      </c>
      <c r="Q11" s="151" t="s">
        <v>334</v>
      </c>
      <c r="R11" s="151"/>
      <c r="S11" s="454">
        <v>0</v>
      </c>
      <c r="T11" s="317"/>
      <c r="U11" s="300" t="s">
        <v>6</v>
      </c>
    </row>
    <row r="12" spans="1:21" s="8" customFormat="1" ht="21.6" thickBot="1" x14ac:dyDescent="0.45">
      <c r="A12" s="708"/>
      <c r="B12" s="832"/>
      <c r="C12" s="833"/>
      <c r="D12" s="833"/>
      <c r="E12" s="324"/>
      <c r="F12" s="328"/>
      <c r="G12" s="329"/>
      <c r="H12" s="330"/>
      <c r="I12" s="329"/>
      <c r="J12" s="331"/>
      <c r="K12" s="329"/>
      <c r="L12" s="329"/>
      <c r="M12" s="321"/>
      <c r="N12" s="445"/>
      <c r="O12" s="151">
        <v>0.5</v>
      </c>
      <c r="P12" s="151" t="s">
        <v>21</v>
      </c>
      <c r="Q12" s="151" t="s">
        <v>333</v>
      </c>
      <c r="R12" s="151"/>
      <c r="S12" s="454">
        <v>0</v>
      </c>
      <c r="T12" s="317"/>
      <c r="U12" s="300" t="s">
        <v>6</v>
      </c>
    </row>
    <row r="13" spans="1:21" ht="22.05" customHeight="1" thickBot="1" x14ac:dyDescent="0.35">
      <c r="B13" s="292"/>
      <c r="C13" s="286"/>
      <c r="D13" s="148"/>
      <c r="E13" s="148"/>
      <c r="F13" s="148"/>
      <c r="G13" s="148"/>
      <c r="H13" s="148"/>
      <c r="I13" s="148"/>
      <c r="J13" s="293"/>
      <c r="K13" s="148"/>
      <c r="L13" s="148"/>
      <c r="M13" s="287"/>
      <c r="N13" s="442"/>
      <c r="O13" s="151">
        <v>10</v>
      </c>
      <c r="P13" s="151" t="s">
        <v>21</v>
      </c>
      <c r="Q13" s="151" t="s">
        <v>335</v>
      </c>
      <c r="R13" s="151"/>
      <c r="S13" s="454">
        <v>0</v>
      </c>
      <c r="T13" s="317"/>
      <c r="U13" s="300" t="s">
        <v>6</v>
      </c>
    </row>
    <row r="14" spans="1:21" ht="21.6" thickBot="1" x14ac:dyDescent="0.45">
      <c r="B14" s="319" t="s">
        <v>241</v>
      </c>
      <c r="C14" s="286"/>
      <c r="D14" s="148"/>
      <c r="E14" s="148"/>
      <c r="F14" s="148"/>
      <c r="G14" s="148"/>
      <c r="H14" s="148"/>
      <c r="I14" s="148"/>
      <c r="J14" s="293"/>
      <c r="K14" s="148"/>
      <c r="L14" s="148"/>
      <c r="M14" s="287"/>
      <c r="N14" s="442"/>
      <c r="O14" s="812">
        <f>D111</f>
        <v>0</v>
      </c>
      <c r="P14" s="151" t="s">
        <v>21</v>
      </c>
      <c r="Q14" s="362" t="str">
        <f>C111</f>
        <v>förpackning X</v>
      </c>
      <c r="R14" s="151"/>
      <c r="S14" s="454">
        <v>0</v>
      </c>
      <c r="T14" s="317"/>
      <c r="U14" s="300" t="s">
        <v>6</v>
      </c>
    </row>
    <row r="15" spans="1:21" s="77" customFormat="1" ht="16.95" customHeight="1" thickBot="1" x14ac:dyDescent="0.35">
      <c r="A15" s="709"/>
      <c r="B15" s="602"/>
      <c r="C15" s="306"/>
      <c r="D15" s="310"/>
      <c r="E15" s="310"/>
      <c r="F15" s="311"/>
      <c r="G15" s="153"/>
      <c r="H15" s="310"/>
      <c r="I15" s="310"/>
      <c r="J15" s="310"/>
      <c r="K15" s="310"/>
      <c r="L15" s="310"/>
      <c r="M15" s="295"/>
      <c r="N15" s="442"/>
      <c r="O15" s="812">
        <f t="shared" ref="O15:O17" si="0">D112</f>
        <v>0</v>
      </c>
      <c r="P15" s="151" t="s">
        <v>21</v>
      </c>
      <c r="Q15" s="362" t="str">
        <f t="shared" ref="Q15:Q17" si="1">C112</f>
        <v>förpackning X</v>
      </c>
      <c r="R15" s="151"/>
      <c r="S15" s="454">
        <v>0</v>
      </c>
      <c r="T15" s="317"/>
      <c r="U15" s="300" t="s">
        <v>6</v>
      </c>
    </row>
    <row r="16" spans="1:21" s="91" customFormat="1" ht="16.95" customHeight="1" thickBot="1" x14ac:dyDescent="0.3">
      <c r="A16" s="709"/>
      <c r="B16" s="602"/>
      <c r="C16" s="289" t="s">
        <v>243</v>
      </c>
      <c r="D16" s="297"/>
      <c r="E16" s="297"/>
      <c r="F16" s="308">
        <f>IF('Gårdens info'!D13&gt;0,J73,0)</f>
        <v>315</v>
      </c>
      <c r="G16" s="151" t="s">
        <v>14</v>
      </c>
      <c r="H16" s="614">
        <f>IF('Gårdens info'!$G$13&gt;0,F16/'Gårdens info'!$G$13,0)</f>
        <v>7.8750000000000001E-2</v>
      </c>
      <c r="I16" s="151" t="s">
        <v>6</v>
      </c>
      <c r="J16" s="298">
        <f>F16*'Gårdens info'!$D$13</f>
        <v>315</v>
      </c>
      <c r="K16" s="151" t="s">
        <v>362</v>
      </c>
      <c r="L16" s="297"/>
      <c r="M16" s="300"/>
      <c r="N16" s="288"/>
      <c r="O16" s="812">
        <f t="shared" si="0"/>
        <v>0</v>
      </c>
      <c r="P16" s="151" t="s">
        <v>21</v>
      </c>
      <c r="Q16" s="362" t="str">
        <f t="shared" si="1"/>
        <v>förpackning X</v>
      </c>
      <c r="R16" s="151"/>
      <c r="S16" s="454">
        <v>0</v>
      </c>
      <c r="T16" s="317"/>
      <c r="U16" s="300" t="s">
        <v>6</v>
      </c>
    </row>
    <row r="17" spans="1:29" s="91" customFormat="1" ht="15.6" thickBot="1" x14ac:dyDescent="0.3">
      <c r="A17" s="709"/>
      <c r="B17" s="296"/>
      <c r="C17" s="289" t="s">
        <v>244</v>
      </c>
      <c r="D17" s="297"/>
      <c r="E17" s="297"/>
      <c r="F17" s="298">
        <f>IF('Gårdens info'!D13&gt;0,J82,0)</f>
        <v>884</v>
      </c>
      <c r="G17" s="151" t="s">
        <v>14</v>
      </c>
      <c r="H17" s="614">
        <f>IF('Gårdens info'!$G$13&gt;0,F17/'Gårdens info'!$G$13,0)</f>
        <v>0.221</v>
      </c>
      <c r="I17" s="151" t="s">
        <v>6</v>
      </c>
      <c r="J17" s="298">
        <f>F17*'Gårdens info'!$D$13</f>
        <v>884</v>
      </c>
      <c r="K17" s="151" t="s">
        <v>362</v>
      </c>
      <c r="L17" s="297"/>
      <c r="M17" s="300"/>
      <c r="N17" s="442"/>
      <c r="O17" s="812">
        <f t="shared" si="0"/>
        <v>0</v>
      </c>
      <c r="P17" s="151" t="s">
        <v>21</v>
      </c>
      <c r="Q17" s="362" t="str">
        <f t="shared" si="1"/>
        <v>förpackning X</v>
      </c>
      <c r="R17" s="151"/>
      <c r="S17" s="453">
        <v>0</v>
      </c>
      <c r="T17" s="317"/>
      <c r="U17" s="300" t="s">
        <v>6</v>
      </c>
    </row>
    <row r="18" spans="1:29" s="91" customFormat="1" ht="17.399999999999999" x14ac:dyDescent="0.3">
      <c r="A18" s="709"/>
      <c r="B18" s="296"/>
      <c r="C18" s="289" t="s">
        <v>245</v>
      </c>
      <c r="D18" s="297"/>
      <c r="E18" s="297"/>
      <c r="F18" s="298">
        <f>IF('Gårdens info'!D13&gt;0,J102,0)</f>
        <v>229.22</v>
      </c>
      <c r="G18" s="151" t="s">
        <v>14</v>
      </c>
      <c r="H18" s="614">
        <f>IF('Gårdens info'!$G$13&gt;0,F18/'Gårdens info'!$G$13,0)</f>
        <v>5.7305000000000002E-2</v>
      </c>
      <c r="I18" s="151" t="s">
        <v>6</v>
      </c>
      <c r="J18" s="298">
        <f>F18*'Gårdens info'!$D$13</f>
        <v>229.22</v>
      </c>
      <c r="K18" s="151" t="s">
        <v>362</v>
      </c>
      <c r="L18" s="297"/>
      <c r="M18" s="300"/>
      <c r="N18" s="446"/>
      <c r="O18" s="946" t="s">
        <v>196</v>
      </c>
      <c r="P18" s="946"/>
      <c r="Q18" s="946"/>
      <c r="R18" s="153"/>
      <c r="S18" s="450">
        <f>SUM(S10:S17)</f>
        <v>1</v>
      </c>
      <c r="T18" s="153"/>
      <c r="U18" s="295"/>
    </row>
    <row r="19" spans="1:29" s="91" customFormat="1" ht="15.6" x14ac:dyDescent="0.3">
      <c r="A19" s="709"/>
      <c r="B19" s="296"/>
      <c r="C19" s="289" t="s">
        <v>246</v>
      </c>
      <c r="D19" s="297"/>
      <c r="E19" s="297"/>
      <c r="F19" s="298">
        <f>IF('Gårdens info'!D13&gt;0,J115,0)</f>
        <v>40</v>
      </c>
      <c r="G19" s="151" t="s">
        <v>14</v>
      </c>
      <c r="H19" s="614">
        <f>IF('Gårdens info'!$G$13&gt;0,F19/'Gårdens info'!$G$13,0)</f>
        <v>0.01</v>
      </c>
      <c r="I19" s="151" t="s">
        <v>6</v>
      </c>
      <c r="J19" s="298">
        <f>F19*'Gårdens info'!$D$13</f>
        <v>40</v>
      </c>
      <c r="K19" s="151" t="s">
        <v>362</v>
      </c>
      <c r="L19" s="297"/>
      <c r="M19" s="300"/>
      <c r="N19" s="288"/>
      <c r="O19" s="451" t="str">
        <f>IF(S18=100%," ","HUOM! Osuus myyynneistä pitää summautua 100 prosenttiin")</f>
        <v xml:space="preserve"> </v>
      </c>
      <c r="P19" s="151"/>
      <c r="R19" s="151"/>
      <c r="S19" s="151"/>
      <c r="T19" s="151"/>
      <c r="U19" s="300"/>
    </row>
    <row r="20" spans="1:29" s="91" customFormat="1" ht="15.6" thickBot="1" x14ac:dyDescent="0.3">
      <c r="A20" s="709"/>
      <c r="B20" s="296"/>
      <c r="C20" s="289" t="s">
        <v>247</v>
      </c>
      <c r="D20" s="297"/>
      <c r="E20" s="297"/>
      <c r="F20" s="298">
        <f>IF('Gårdens info'!D13&gt;0,122,0)</f>
        <v>122</v>
      </c>
      <c r="G20" s="151" t="s">
        <v>14</v>
      </c>
      <c r="H20" s="614">
        <f>IF('Gårdens info'!$G$13&gt;0,F20/'Gårdens info'!$G$13,0)</f>
        <v>3.0499999999999999E-2</v>
      </c>
      <c r="I20" s="151" t="s">
        <v>6</v>
      </c>
      <c r="J20" s="298">
        <f>F20*'Gårdens info'!$D$13</f>
        <v>122</v>
      </c>
      <c r="K20" s="151" t="s">
        <v>362</v>
      </c>
      <c r="L20" s="297"/>
      <c r="M20" s="300"/>
      <c r="N20" s="447"/>
      <c r="O20" s="448"/>
      <c r="P20" s="448"/>
      <c r="Q20" s="448"/>
      <c r="R20" s="448"/>
      <c r="S20" s="448"/>
      <c r="T20" s="448"/>
      <c r="U20" s="449"/>
    </row>
    <row r="21" spans="1:29" s="91" customFormat="1" ht="15" x14ac:dyDescent="0.25">
      <c r="A21" s="709"/>
      <c r="B21" s="296"/>
      <c r="C21" s="289" t="s">
        <v>248</v>
      </c>
      <c r="D21" s="297"/>
      <c r="E21" s="297"/>
      <c r="F21" s="298">
        <f>IF('Gårdens info'!D13&gt;0,J131,0)</f>
        <v>0</v>
      </c>
      <c r="G21" s="151" t="s">
        <v>14</v>
      </c>
      <c r="H21" s="614">
        <f>IF('Gårdens info'!$G$13&gt;0,F21/'Gårdens info'!$G$13,0)</f>
        <v>0</v>
      </c>
      <c r="I21" s="151" t="s">
        <v>6</v>
      </c>
      <c r="J21" s="298">
        <f>F21*'Gårdens info'!$D$13</f>
        <v>0</v>
      </c>
      <c r="K21" s="151" t="s">
        <v>362</v>
      </c>
      <c r="L21" s="297"/>
      <c r="M21" s="300"/>
    </row>
    <row r="22" spans="1:29" s="91" customFormat="1" ht="15" x14ac:dyDescent="0.25">
      <c r="A22" s="709"/>
      <c r="B22" s="296"/>
      <c r="C22" s="289" t="s">
        <v>249</v>
      </c>
      <c r="D22" s="297"/>
      <c r="E22" s="297"/>
      <c r="F22" s="298">
        <f>IF('Gårdens info'!D13&gt;0,J143,0)</f>
        <v>792.3599999999999</v>
      </c>
      <c r="G22" s="151" t="s">
        <v>14</v>
      </c>
      <c r="H22" s="614">
        <f>IF('Gårdens info'!$G$13&gt;0,F22/'Gårdens info'!$G$13,0)</f>
        <v>0.19808999999999999</v>
      </c>
      <c r="I22" s="151" t="s">
        <v>6</v>
      </c>
      <c r="J22" s="298">
        <f>F22*'Gårdens info'!$D$13</f>
        <v>792.3599999999999</v>
      </c>
      <c r="K22" s="151" t="s">
        <v>362</v>
      </c>
      <c r="L22" s="297"/>
      <c r="M22" s="300"/>
    </row>
    <row r="23" spans="1:29" s="91" customFormat="1" ht="15" x14ac:dyDescent="0.25">
      <c r="A23" s="709"/>
      <c r="B23" s="296"/>
      <c r="C23" s="289" t="s">
        <v>250</v>
      </c>
      <c r="D23" s="297"/>
      <c r="E23" s="297"/>
      <c r="F23" s="298">
        <f>IF('Gårdens info'!D13&gt;0,L169,0)</f>
        <v>290</v>
      </c>
      <c r="G23" s="151" t="s">
        <v>14</v>
      </c>
      <c r="H23" s="614">
        <f>IF('Gårdens info'!$G$13&gt;0,F23/'Gårdens info'!$G$13,0)</f>
        <v>7.2499999999999995E-2</v>
      </c>
      <c r="I23" s="151" t="s">
        <v>6</v>
      </c>
      <c r="J23" s="298">
        <f>F23*'Gårdens info'!$D$13</f>
        <v>290</v>
      </c>
      <c r="K23" s="151" t="s">
        <v>362</v>
      </c>
      <c r="L23" s="297"/>
      <c r="M23" s="300"/>
    </row>
    <row r="24" spans="1:29" ht="15.6" x14ac:dyDescent="0.3">
      <c r="B24" s="312"/>
      <c r="C24" s="301" t="s">
        <v>196</v>
      </c>
      <c r="D24" s="302"/>
      <c r="E24" s="302"/>
      <c r="F24" s="303">
        <f>SUM(F16:F23)</f>
        <v>2672.58</v>
      </c>
      <c r="G24" s="304" t="s">
        <v>14</v>
      </c>
      <c r="H24" s="615">
        <f>SUM(H16:H23)</f>
        <v>0.66814499999999999</v>
      </c>
      <c r="I24" s="304" t="s">
        <v>6</v>
      </c>
      <c r="J24" s="303">
        <f>SUM(J16:J23)</f>
        <v>2672.58</v>
      </c>
      <c r="K24" s="304" t="s">
        <v>362</v>
      </c>
      <c r="L24" s="302"/>
      <c r="M24" s="313"/>
      <c r="N24" s="91"/>
      <c r="O24" s="91"/>
      <c r="P24" s="91"/>
      <c r="Q24" s="91"/>
      <c r="R24" s="91"/>
      <c r="S24" s="91"/>
      <c r="T24" s="91"/>
      <c r="U24" s="91"/>
    </row>
    <row r="25" spans="1:29" s="77" customFormat="1" ht="17.399999999999999" x14ac:dyDescent="0.3">
      <c r="A25" s="710"/>
      <c r="B25" s="292"/>
      <c r="C25" s="306"/>
      <c r="D25" s="307"/>
      <c r="E25" s="307"/>
      <c r="F25" s="308"/>
      <c r="G25" s="151"/>
      <c r="H25" s="616"/>
      <c r="I25" s="307"/>
      <c r="J25" s="307"/>
      <c r="K25" s="307"/>
      <c r="L25" s="307"/>
      <c r="M25" s="287"/>
      <c r="N25" s="91"/>
      <c r="O25" s="91"/>
      <c r="P25" s="91"/>
      <c r="R25" s="91"/>
      <c r="S25" s="91"/>
      <c r="T25" s="91"/>
      <c r="U25" s="91"/>
      <c r="AA25" s="872" t="s">
        <v>338</v>
      </c>
      <c r="AB25" s="872" t="s">
        <v>243</v>
      </c>
      <c r="AC25" s="873">
        <f>F16</f>
        <v>315</v>
      </c>
    </row>
    <row r="26" spans="1:29" s="91" customFormat="1" ht="17.399999999999999" customHeight="1" x14ac:dyDescent="0.3">
      <c r="A26" s="709"/>
      <c r="B26" s="947" t="s">
        <v>349</v>
      </c>
      <c r="C26" s="948"/>
      <c r="D26" s="948"/>
      <c r="E26" s="948"/>
      <c r="F26" s="325">
        <f>IF('Gårdens info'!D13&gt;0,J26/'Gårdens info'!D13,0)</f>
        <v>414.81481481481484</v>
      </c>
      <c r="G26" s="304" t="s">
        <v>14</v>
      </c>
      <c r="H26" s="617">
        <f>IF('Gårdens info'!G13&gt;0,F26/'Gårdens info'!G13,0)</f>
        <v>0.10370370370370371</v>
      </c>
      <c r="I26" s="304" t="s">
        <v>6</v>
      </c>
      <c r="J26" s="320">
        <f>'Gårdens info'!G147/'Gårdens info'!D37*'Gårdens info'!D13</f>
        <v>414.81481481481484</v>
      </c>
      <c r="K26" s="304" t="s">
        <v>362</v>
      </c>
      <c r="L26" s="327"/>
      <c r="M26" s="321"/>
      <c r="N26"/>
      <c r="O26"/>
      <c r="P26"/>
      <c r="S26"/>
      <c r="T26"/>
      <c r="U26"/>
      <c r="AA26" s="874" t="s">
        <v>338</v>
      </c>
      <c r="AB26" s="874" t="str">
        <f t="shared" ref="AB26:AB32" si="2">C17</f>
        <v>Gödsel och kalk</v>
      </c>
      <c r="AC26" s="873">
        <f t="shared" ref="AC26:AC32" si="3">F17</f>
        <v>884</v>
      </c>
    </row>
    <row r="27" spans="1:29" s="91" customFormat="1" ht="17.399999999999999" customHeight="1" x14ac:dyDescent="0.3">
      <c r="A27" s="709"/>
      <c r="B27" s="949" t="s">
        <v>350</v>
      </c>
      <c r="C27" s="950"/>
      <c r="D27" s="950"/>
      <c r="E27" s="950"/>
      <c r="F27" s="325">
        <f>'Gårdens info'!$G$42*'Gårdens info'!$D$42/'Gårdens info'!$D$37*'Gårdens info'!D13</f>
        <v>44.444444444444443</v>
      </c>
      <c r="G27" s="304" t="s">
        <v>14</v>
      </c>
      <c r="H27" s="617">
        <f>IF('Gårdens info'!G13&gt;0,F27/'Gårdens info'!G13,0)</f>
        <v>1.1111111111111112E-2</v>
      </c>
      <c r="I27" s="304" t="s">
        <v>6</v>
      </c>
      <c r="J27" s="320">
        <f>F27*'Gårdens info'!D13</f>
        <v>44.444444444444443</v>
      </c>
      <c r="K27" s="304" t="s">
        <v>362</v>
      </c>
      <c r="L27" s="327"/>
      <c r="M27" s="321"/>
      <c r="N27" s="77"/>
      <c r="O27" s="77"/>
      <c r="P27" s="77"/>
      <c r="S27" s="77"/>
      <c r="T27" s="77"/>
      <c r="U27" s="77"/>
      <c r="AA27" s="874" t="s">
        <v>338</v>
      </c>
      <c r="AB27" s="874" t="str">
        <f t="shared" si="2"/>
        <v>IPM Växtskydd</v>
      </c>
      <c r="AC27" s="873">
        <f t="shared" si="3"/>
        <v>229.22</v>
      </c>
    </row>
    <row r="28" spans="1:29" s="91" customFormat="1" ht="21" customHeight="1" x14ac:dyDescent="0.4">
      <c r="A28" s="709"/>
      <c r="B28" s="932" t="s">
        <v>226</v>
      </c>
      <c r="C28" s="933"/>
      <c r="D28" s="933"/>
      <c r="E28" s="324"/>
      <c r="F28" s="328">
        <f>F24+F26+F27</f>
        <v>3131.8392592592591</v>
      </c>
      <c r="G28" s="329" t="s">
        <v>14</v>
      </c>
      <c r="H28" s="618">
        <f>H24+H26+H27</f>
        <v>0.7829598148148148</v>
      </c>
      <c r="I28" s="329" t="s">
        <v>6</v>
      </c>
      <c r="J28" s="331">
        <f>J24+J26+J27</f>
        <v>3131.8392592592591</v>
      </c>
      <c r="K28" s="329" t="s">
        <v>362</v>
      </c>
      <c r="L28" s="329"/>
      <c r="M28" s="321"/>
      <c r="AA28" s="874" t="s">
        <v>338</v>
      </c>
      <c r="AB28" s="874" t="str">
        <f t="shared" si="2"/>
        <v>Packningsmaterial</v>
      </c>
      <c r="AC28" s="873">
        <f t="shared" si="3"/>
        <v>40</v>
      </c>
    </row>
    <row r="29" spans="1:29" s="91" customFormat="1" ht="21" x14ac:dyDescent="0.4">
      <c r="A29" s="709"/>
      <c r="B29" s="832"/>
      <c r="C29" s="833"/>
      <c r="D29" s="833"/>
      <c r="E29" s="324"/>
      <c r="F29" s="328"/>
      <c r="G29" s="329"/>
      <c r="H29" s="330"/>
      <c r="I29" s="329"/>
      <c r="J29" s="331"/>
      <c r="K29" s="329"/>
      <c r="L29" s="329"/>
      <c r="M29" s="321"/>
      <c r="AA29" s="874" t="s">
        <v>338</v>
      </c>
      <c r="AB29" s="874" t="str">
        <f t="shared" si="2"/>
        <v>Fraktkostnader</v>
      </c>
      <c r="AC29" s="873">
        <f t="shared" si="3"/>
        <v>122</v>
      </c>
    </row>
    <row r="30" spans="1:29" s="91" customFormat="1" ht="21" x14ac:dyDescent="0.4">
      <c r="A30" s="709"/>
      <c r="B30" s="319" t="s">
        <v>351</v>
      </c>
      <c r="C30" s="286"/>
      <c r="D30" s="148"/>
      <c r="E30" s="148"/>
      <c r="F30" s="148"/>
      <c r="G30" s="148"/>
      <c r="H30" s="148"/>
      <c r="I30" s="148"/>
      <c r="J30" s="293"/>
      <c r="K30" s="148"/>
      <c r="L30" s="148"/>
      <c r="M30" s="287"/>
      <c r="AA30" s="874" t="s">
        <v>338</v>
      </c>
      <c r="AB30" s="874" t="str">
        <f t="shared" si="2"/>
        <v>Maskinkostnader och entreprenad</v>
      </c>
      <c r="AC30" s="873">
        <f t="shared" si="3"/>
        <v>0</v>
      </c>
    </row>
    <row r="31" spans="1:29" s="91" customFormat="1" ht="21" customHeight="1" x14ac:dyDescent="0.4">
      <c r="A31" s="709"/>
      <c r="B31" s="947" t="s">
        <v>149</v>
      </c>
      <c r="C31" s="948"/>
      <c r="D31" s="833"/>
      <c r="E31" s="324"/>
      <c r="F31" s="328"/>
      <c r="G31" s="329"/>
      <c r="H31" s="330"/>
      <c r="I31" s="329"/>
      <c r="J31" s="331"/>
      <c r="K31" s="329"/>
      <c r="L31" s="329"/>
      <c r="M31" s="321"/>
      <c r="AA31" s="874" t="s">
        <v>338</v>
      </c>
      <c r="AB31" s="874" t="str">
        <f t="shared" si="2"/>
        <v>Energikostnader</v>
      </c>
      <c r="AC31" s="873">
        <f t="shared" si="3"/>
        <v>792.3599999999999</v>
      </c>
    </row>
    <row r="32" spans="1:29" s="91" customFormat="1" ht="21" x14ac:dyDescent="0.4">
      <c r="A32" s="709"/>
      <c r="B32" s="350"/>
      <c r="C32" s="838" t="s">
        <v>264</v>
      </c>
      <c r="D32" s="833"/>
      <c r="E32" s="324"/>
      <c r="F32" s="338">
        <f>IF('Gårdens info'!$D$13&gt;0,J32/'Gårdens info'!$D$13,0)</f>
        <v>391.11111111111109</v>
      </c>
      <c r="G32" s="151" t="s">
        <v>14</v>
      </c>
      <c r="H32" s="613">
        <f>IF('Gårdens info'!$G$13&gt;0,F32/'Gårdens info'!$G$13,0)</f>
        <v>9.7777777777777769E-2</v>
      </c>
      <c r="I32" s="151" t="s">
        <v>6</v>
      </c>
      <c r="J32" s="298">
        <f>Ägendom!AI22</f>
        <v>391.11111111111109</v>
      </c>
      <c r="K32" s="151" t="s">
        <v>362</v>
      </c>
      <c r="L32" s="329"/>
      <c r="M32" s="321"/>
      <c r="AA32" s="874" t="s">
        <v>338</v>
      </c>
      <c r="AB32" s="874" t="str">
        <f t="shared" si="2"/>
        <v>Anställd arbetskraft</v>
      </c>
      <c r="AC32" s="873">
        <f t="shared" si="3"/>
        <v>290</v>
      </c>
    </row>
    <row r="33" spans="1:29" s="236" customFormat="1" ht="21" x14ac:dyDescent="0.4">
      <c r="A33" s="711"/>
      <c r="B33" s="350"/>
      <c r="C33" s="838" t="s">
        <v>265</v>
      </c>
      <c r="D33" s="833"/>
      <c r="E33" s="324"/>
      <c r="F33" s="338">
        <f>IF('Gårdens info'!$D$13&gt;0,J33/'Gårdens info'!$D$13,0)</f>
        <v>244.44444444444443</v>
      </c>
      <c r="G33" s="151" t="s">
        <v>14</v>
      </c>
      <c r="H33" s="613">
        <f>IF('Gårdens info'!$G$13&gt;0,F33/'Gårdens info'!$G$13,0)</f>
        <v>6.1111111111111109E-2</v>
      </c>
      <c r="I33" s="151" t="s">
        <v>6</v>
      </c>
      <c r="J33" s="298">
        <f>Ägendom!BE22</f>
        <v>244.44444444444443</v>
      </c>
      <c r="K33" s="151" t="s">
        <v>362</v>
      </c>
      <c r="L33" s="329"/>
      <c r="M33" s="321"/>
      <c r="N33" s="91"/>
      <c r="O33" s="91"/>
      <c r="P33" s="91"/>
      <c r="S33" s="91"/>
      <c r="T33" s="91"/>
      <c r="U33" s="91"/>
      <c r="AB33" s="875" t="s">
        <v>572</v>
      </c>
      <c r="AC33" s="875">
        <f>F26</f>
        <v>414.81481481481484</v>
      </c>
    </row>
    <row r="34" spans="1:29" ht="17.399999999999999" customHeight="1" x14ac:dyDescent="0.3">
      <c r="B34" s="350"/>
      <c r="C34" s="941" t="s">
        <v>266</v>
      </c>
      <c r="D34" s="941"/>
      <c r="E34" s="324"/>
      <c r="F34" s="338">
        <f>IF('Gårdens info'!$D$13&gt;0,J34/'Gårdens info'!$D$13,0)</f>
        <v>97.777777777777771</v>
      </c>
      <c r="G34" s="151" t="s">
        <v>14</v>
      </c>
      <c r="H34" s="613">
        <f>IF('Gårdens info'!$G$13&gt;0,F34/'Gårdens info'!$G$13,0)</f>
        <v>2.4444444444444442E-2</v>
      </c>
      <c r="I34" s="151" t="s">
        <v>6</v>
      </c>
      <c r="J34" s="298">
        <f>Ägendom!CA22</f>
        <v>97.777777777777771</v>
      </c>
      <c r="K34" s="151" t="s">
        <v>362</v>
      </c>
      <c r="L34" s="329"/>
      <c r="M34" s="321"/>
      <c r="N34" s="91"/>
      <c r="O34" s="91"/>
      <c r="P34" s="91"/>
      <c r="S34" s="91"/>
      <c r="T34" s="91"/>
      <c r="U34" s="91"/>
      <c r="AB34" s="874" t="s">
        <v>730</v>
      </c>
      <c r="AC34" s="875">
        <f>F27</f>
        <v>44.444444444444443</v>
      </c>
    </row>
    <row r="35" spans="1:29" ht="21" x14ac:dyDescent="0.4">
      <c r="B35" s="350"/>
      <c r="C35" s="838" t="s">
        <v>267</v>
      </c>
      <c r="D35" s="833"/>
      <c r="E35" s="324"/>
      <c r="F35" s="338">
        <f>IF('Gårdens info'!$D$13&gt;0,J35/'Gårdens info'!$D$13,0)</f>
        <v>19.555555555555554</v>
      </c>
      <c r="G35" s="151" t="s">
        <v>14</v>
      </c>
      <c r="H35" s="613">
        <f>IF('Gårdens info'!$G$13&gt;0,F35/'Gårdens info'!$G$13,0)</f>
        <v>4.8888888888888888E-3</v>
      </c>
      <c r="I35" s="151" t="s">
        <v>6</v>
      </c>
      <c r="J35" s="298">
        <f>Ägendom!CW22</f>
        <v>19.555555555555554</v>
      </c>
      <c r="K35" s="151" t="s">
        <v>362</v>
      </c>
      <c r="L35" s="329"/>
      <c r="M35" s="321"/>
      <c r="N35" s="236"/>
      <c r="O35" s="236"/>
      <c r="P35" s="236"/>
      <c r="S35" s="236"/>
      <c r="T35" s="236"/>
      <c r="U35" s="236"/>
      <c r="AB35" s="874" t="s">
        <v>576</v>
      </c>
      <c r="AC35" s="876">
        <f>F36</f>
        <v>752.8888888888888</v>
      </c>
    </row>
    <row r="36" spans="1:29" ht="20.399999999999999" x14ac:dyDescent="0.35">
      <c r="B36" s="352"/>
      <c r="C36" s="340" t="s">
        <v>196</v>
      </c>
      <c r="D36" s="341"/>
      <c r="E36" s="324"/>
      <c r="F36" s="342">
        <f>SUM(F32:F35)</f>
        <v>752.8888888888888</v>
      </c>
      <c r="G36" s="151" t="s">
        <v>14</v>
      </c>
      <c r="H36" s="727">
        <f>SUM(H32:H35)</f>
        <v>0.18822222222222221</v>
      </c>
      <c r="I36" s="151" t="s">
        <v>6</v>
      </c>
      <c r="J36" s="342">
        <f t="shared" ref="J36" si="4">SUM(J32:J35)</f>
        <v>752.8888888888888</v>
      </c>
      <c r="K36" s="151" t="s">
        <v>362</v>
      </c>
      <c r="L36" s="343"/>
      <c r="M36" s="321"/>
      <c r="AB36" s="874" t="s">
        <v>577</v>
      </c>
      <c r="AC36" s="877">
        <f>F43</f>
        <v>8395.9345679012349</v>
      </c>
    </row>
    <row r="37" spans="1:29" s="91" customFormat="1" ht="21" x14ac:dyDescent="0.4">
      <c r="A37" s="709"/>
      <c r="B37" s="350"/>
      <c r="C37" s="838"/>
      <c r="D37" s="833"/>
      <c r="E37" s="324"/>
      <c r="F37" s="338"/>
      <c r="G37" s="151"/>
      <c r="H37" s="339"/>
      <c r="I37" s="151"/>
      <c r="J37" s="298"/>
      <c r="K37" s="151"/>
      <c r="L37" s="329"/>
      <c r="M37" s="321"/>
      <c r="N37"/>
      <c r="O37"/>
      <c r="P37"/>
      <c r="S37"/>
      <c r="T37"/>
      <c r="U37"/>
      <c r="AB37" s="874" t="s">
        <v>578</v>
      </c>
      <c r="AC37" s="877">
        <f>F50</f>
        <v>90.454047619047614</v>
      </c>
    </row>
    <row r="38" spans="1:29" s="91" customFormat="1" ht="17.399999999999999" customHeight="1" x14ac:dyDescent="0.3">
      <c r="A38" s="709"/>
      <c r="B38" s="947" t="s">
        <v>150</v>
      </c>
      <c r="C38" s="948"/>
      <c r="D38" s="948"/>
      <c r="E38" s="324"/>
      <c r="F38" s="338"/>
      <c r="G38" s="151"/>
      <c r="H38" s="339"/>
      <c r="I38" s="151"/>
      <c r="J38" s="298"/>
      <c r="K38" s="151"/>
      <c r="L38" s="329"/>
      <c r="M38" s="321"/>
      <c r="N38"/>
      <c r="O38"/>
      <c r="P38"/>
      <c r="S38"/>
      <c r="T38"/>
      <c r="U38"/>
      <c r="AB38" s="874" t="s">
        <v>162</v>
      </c>
      <c r="AC38" s="877">
        <f>F56</f>
        <v>22.222222222222221</v>
      </c>
    </row>
    <row r="39" spans="1:29" s="91" customFormat="1" ht="21" x14ac:dyDescent="0.4">
      <c r="A39" s="709"/>
      <c r="B39" s="350"/>
      <c r="C39" s="838" t="s">
        <v>264</v>
      </c>
      <c r="D39" s="833"/>
      <c r="E39" s="324"/>
      <c r="F39" s="338">
        <f>IF('Gårdens info'!$D$13&gt;0,J39/'Gårdens info'!$D$13,0)</f>
        <v>4484.1975308641977</v>
      </c>
      <c r="G39" s="151" t="s">
        <v>14</v>
      </c>
      <c r="H39" s="613">
        <f>IF('Gårdens info'!$G$13&gt;0,F39/'Gårdens info'!$G$13,0)</f>
        <v>1.1210493827160495</v>
      </c>
      <c r="I39" s="151" t="s">
        <v>6</v>
      </c>
      <c r="J39" s="298">
        <f>Ägendom!AI51</f>
        <v>4484.1975308641977</v>
      </c>
      <c r="K39" s="151" t="s">
        <v>362</v>
      </c>
      <c r="L39" s="329"/>
      <c r="M39" s="321"/>
      <c r="AB39" s="874" t="s">
        <v>727</v>
      </c>
      <c r="AC39" s="875">
        <f>F62</f>
        <v>1261.5</v>
      </c>
    </row>
    <row r="40" spans="1:29" s="8" customFormat="1" ht="21" x14ac:dyDescent="0.4">
      <c r="A40" s="708"/>
      <c r="B40" s="350"/>
      <c r="C40" s="838" t="s">
        <v>265</v>
      </c>
      <c r="D40" s="833"/>
      <c r="E40" s="324"/>
      <c r="F40" s="338">
        <f>IF('Gårdens info'!$D$13&gt;0,J40/'Gårdens info'!$D$13,0)</f>
        <v>1681.5740740740739</v>
      </c>
      <c r="G40" s="151" t="s">
        <v>14</v>
      </c>
      <c r="H40" s="613">
        <f>IF('Gårdens info'!$G$13&gt;0,F40/'Gårdens info'!$G$13,0)</f>
        <v>0.42039351851851847</v>
      </c>
      <c r="I40" s="151" t="s">
        <v>6</v>
      </c>
      <c r="J40" s="298">
        <f>Ägendom!BE51</f>
        <v>1681.5740740740739</v>
      </c>
      <c r="K40" s="151" t="s">
        <v>362</v>
      </c>
      <c r="L40" s="329"/>
      <c r="M40" s="321"/>
      <c r="N40" s="91"/>
      <c r="O40" s="91"/>
      <c r="P40" s="91"/>
      <c r="Q40" s="91"/>
      <c r="R40" s="91"/>
      <c r="S40" s="91"/>
      <c r="T40" s="91"/>
      <c r="U40" s="91"/>
      <c r="AB40" s="857"/>
      <c r="AC40" s="857"/>
    </row>
    <row r="41" spans="1:29" s="8" customFormat="1" ht="17.399999999999999" customHeight="1" x14ac:dyDescent="0.3">
      <c r="A41" s="708"/>
      <c r="B41" s="350"/>
      <c r="C41" s="941" t="s">
        <v>266</v>
      </c>
      <c r="D41" s="941"/>
      <c r="E41" s="324"/>
      <c r="F41" s="338">
        <f>IF('Gårdens info'!$D$13&gt;0,J41/'Gårdens info'!$D$13,0)</f>
        <v>2090.7777777777778</v>
      </c>
      <c r="G41" s="151" t="s">
        <v>14</v>
      </c>
      <c r="H41" s="613">
        <f>IF('Gårdens info'!$G$13&gt;0,F41/'Gårdens info'!$G$13,0)</f>
        <v>0.52269444444444446</v>
      </c>
      <c r="I41" s="151" t="s">
        <v>6</v>
      </c>
      <c r="J41" s="298">
        <f>Ägendom!CA51</f>
        <v>2090.7777777777778</v>
      </c>
      <c r="K41" s="151" t="s">
        <v>362</v>
      </c>
      <c r="L41" s="329"/>
      <c r="M41" s="321"/>
      <c r="N41" s="91"/>
      <c r="O41" s="91"/>
      <c r="P41" s="91"/>
      <c r="Q41" s="91"/>
      <c r="R41" s="91"/>
      <c r="S41" s="91"/>
      <c r="T41" s="91"/>
      <c r="U41" s="91"/>
      <c r="AB41" s="857"/>
      <c r="AC41" s="857"/>
    </row>
    <row r="42" spans="1:29" s="8" customFormat="1" ht="21" x14ac:dyDescent="0.4">
      <c r="A42" s="708"/>
      <c r="B42" s="350"/>
      <c r="C42" s="838" t="s">
        <v>267</v>
      </c>
      <c r="D42" s="833"/>
      <c r="E42" s="324"/>
      <c r="F42" s="338">
        <f>IF('Gårdens info'!$D$13&gt;0,J42/'Gårdens info'!$D$13,0)</f>
        <v>139.38518518518518</v>
      </c>
      <c r="G42" s="151" t="s">
        <v>14</v>
      </c>
      <c r="H42" s="613">
        <f>IF('Gårdens info'!$G$13&gt;0,F42/'Gårdens info'!$G$13,0)</f>
        <v>3.4846296296296292E-2</v>
      </c>
      <c r="I42" s="151" t="s">
        <v>6</v>
      </c>
      <c r="J42" s="298">
        <f>Ägendom!CW51</f>
        <v>139.38518518518518</v>
      </c>
      <c r="K42" s="151" t="s">
        <v>362</v>
      </c>
      <c r="L42" s="329"/>
      <c r="M42" s="321"/>
      <c r="AA42" s="857"/>
      <c r="AB42" s="857"/>
      <c r="AC42" s="857"/>
    </row>
    <row r="43" spans="1:29" s="8" customFormat="1" ht="20.399999999999999" x14ac:dyDescent="0.35">
      <c r="A43" s="708"/>
      <c r="B43" s="352"/>
      <c r="C43" s="340" t="s">
        <v>196</v>
      </c>
      <c r="D43" s="341"/>
      <c r="E43" s="324"/>
      <c r="F43" s="342">
        <f>SUM(F39:F42)</f>
        <v>8395.9345679012349</v>
      </c>
      <c r="G43" s="151" t="s">
        <v>14</v>
      </c>
      <c r="H43" s="727">
        <f>SUM(H39:H42)</f>
        <v>2.0989836419753085</v>
      </c>
      <c r="I43" s="151" t="s">
        <v>6</v>
      </c>
      <c r="J43" s="342">
        <f t="shared" ref="J43" si="5">SUM(J39:J42)</f>
        <v>8395.9345679012349</v>
      </c>
      <c r="K43" s="151" t="s">
        <v>362</v>
      </c>
      <c r="L43" s="343"/>
      <c r="M43" s="321"/>
      <c r="AA43" s="857"/>
    </row>
    <row r="44" spans="1:29" s="8" customFormat="1" ht="21" x14ac:dyDescent="0.4">
      <c r="A44" s="708"/>
      <c r="B44" s="350"/>
      <c r="C44" s="838"/>
      <c r="D44" s="833"/>
      <c r="E44" s="324"/>
      <c r="F44" s="338"/>
      <c r="G44" s="151"/>
      <c r="H44" s="339"/>
      <c r="I44" s="151"/>
      <c r="J44" s="298"/>
      <c r="K44" s="151"/>
      <c r="L44" s="329"/>
      <c r="M44" s="321"/>
      <c r="AA44" s="857"/>
    </row>
    <row r="45" spans="1:29" s="8" customFormat="1" ht="43.05" customHeight="1" x14ac:dyDescent="0.3">
      <c r="A45" s="708"/>
      <c r="B45" s="947" t="s">
        <v>151</v>
      </c>
      <c r="C45" s="948"/>
      <c r="D45" s="948"/>
      <c r="E45" s="324"/>
      <c r="F45" s="338"/>
      <c r="G45" s="151"/>
      <c r="H45" s="339"/>
      <c r="I45" s="151"/>
      <c r="J45" s="298"/>
      <c r="K45" s="151"/>
      <c r="L45" s="329"/>
      <c r="M45" s="321"/>
      <c r="AA45" s="857"/>
    </row>
    <row r="46" spans="1:29" ht="21" x14ac:dyDescent="0.4">
      <c r="B46" s="350"/>
      <c r="C46" s="838" t="s">
        <v>264</v>
      </c>
      <c r="D46" s="833"/>
      <c r="E46" s="324"/>
      <c r="F46" s="338">
        <f>IF('Gårdens info'!$D$13&gt;0,J46/'Gårdens info'!$D$13,0)</f>
        <v>48.452380952380949</v>
      </c>
      <c r="G46" s="151" t="s">
        <v>14</v>
      </c>
      <c r="H46" s="613">
        <f>IF('Gårdens info'!$G$13&gt;0,F46/'Gårdens info'!$G$13,0)</f>
        <v>1.2113095238095237E-2</v>
      </c>
      <c r="I46" s="151" t="s">
        <v>6</v>
      </c>
      <c r="J46" s="298">
        <f>Ägendom!AI76</f>
        <v>48.452380952380949</v>
      </c>
      <c r="K46" s="151" t="s">
        <v>362</v>
      </c>
      <c r="L46" s="329"/>
      <c r="M46" s="321"/>
      <c r="N46" s="8"/>
      <c r="O46" s="8"/>
      <c r="P46" s="8"/>
      <c r="Q46" s="8"/>
      <c r="R46" s="8"/>
      <c r="S46" s="8"/>
      <c r="T46" s="8"/>
      <c r="U46" s="8"/>
      <c r="AA46" s="857"/>
    </row>
    <row r="47" spans="1:29" s="8" customFormat="1" ht="21" x14ac:dyDescent="0.4">
      <c r="A47" s="708"/>
      <c r="B47" s="350"/>
      <c r="C47" s="838" t="s">
        <v>265</v>
      </c>
      <c r="D47" s="833"/>
      <c r="E47" s="324"/>
      <c r="F47" s="338">
        <f>IF('Gårdens info'!$D$13&gt;0,J47/'Gårdens info'!$D$13,0)</f>
        <v>4.9702380952380949</v>
      </c>
      <c r="G47" s="151" t="s">
        <v>14</v>
      </c>
      <c r="H47" s="613">
        <f>IF('Gårdens info'!$G$13&gt;0,F47/'Gårdens info'!$G$13,0)</f>
        <v>1.2425595238095238E-3</v>
      </c>
      <c r="I47" s="151" t="s">
        <v>6</v>
      </c>
      <c r="J47" s="298">
        <f>Ägendom!BE76</f>
        <v>4.9702380952380949</v>
      </c>
      <c r="K47" s="151" t="s">
        <v>362</v>
      </c>
      <c r="L47" s="329"/>
      <c r="M47" s="321"/>
      <c r="AA47" s="857"/>
    </row>
    <row r="48" spans="1:29" s="8" customFormat="1" ht="17.399999999999999" customHeight="1" x14ac:dyDescent="0.3">
      <c r="A48" s="708"/>
      <c r="B48" s="350"/>
      <c r="C48" s="941" t="s">
        <v>266</v>
      </c>
      <c r="D48" s="941"/>
      <c r="E48" s="324"/>
      <c r="F48" s="338">
        <f>IF('Gårdens info'!$D$13&gt;0,J48/'Gårdens info'!$D$13,0)</f>
        <v>35.607142857142847</v>
      </c>
      <c r="G48" s="151" t="s">
        <v>14</v>
      </c>
      <c r="H48" s="613">
        <f>IF('Gårdens info'!$G$13&gt;0,F48/'Gårdens info'!$G$13,0)</f>
        <v>8.901785714285711E-3</v>
      </c>
      <c r="I48" s="151" t="s">
        <v>6</v>
      </c>
      <c r="J48" s="298">
        <f>Ägendom!CA76</f>
        <v>35.607142857142847</v>
      </c>
      <c r="K48" s="151" t="s">
        <v>362</v>
      </c>
      <c r="L48" s="329"/>
      <c r="M48" s="321"/>
      <c r="N48"/>
      <c r="O48"/>
      <c r="P48"/>
      <c r="Q48"/>
      <c r="R48"/>
      <c r="S48"/>
      <c r="T48"/>
      <c r="U48"/>
    </row>
    <row r="49" spans="1:13" s="8" customFormat="1" ht="21" x14ac:dyDescent="0.4">
      <c r="A49" s="708"/>
      <c r="B49" s="350"/>
      <c r="C49" s="838" t="s">
        <v>267</v>
      </c>
      <c r="D49" s="833"/>
      <c r="E49" s="324"/>
      <c r="F49" s="338">
        <f>IF('Gårdens info'!$D$13&gt;0,J49/'Gårdens info'!$D$13,0)</f>
        <v>1.4242857142857142</v>
      </c>
      <c r="G49" s="151" t="s">
        <v>14</v>
      </c>
      <c r="H49" s="613">
        <f>IF('Gårdens info'!$G$13&gt;0,F49/'Gårdens info'!$G$13,0)</f>
        <v>3.5607142857142852E-4</v>
      </c>
      <c r="I49" s="151" t="s">
        <v>6</v>
      </c>
      <c r="J49" s="298">
        <f>Ägendom!CW76</f>
        <v>1.4242857142857142</v>
      </c>
      <c r="K49" s="151" t="s">
        <v>362</v>
      </c>
      <c r="L49" s="329"/>
      <c r="M49" s="321"/>
    </row>
    <row r="50" spans="1:13" s="8" customFormat="1" ht="20.399999999999999" x14ac:dyDescent="0.35">
      <c r="A50" s="708"/>
      <c r="B50" s="352"/>
      <c r="C50" s="340" t="s">
        <v>196</v>
      </c>
      <c r="D50" s="341"/>
      <c r="E50" s="324"/>
      <c r="F50" s="342">
        <f>SUM(F46:F49)</f>
        <v>90.454047619047614</v>
      </c>
      <c r="G50" s="151" t="s">
        <v>14</v>
      </c>
      <c r="H50" s="620">
        <f t="shared" ref="H50:J50" si="6">SUM(H46:H49)</f>
        <v>2.26135119047619E-2</v>
      </c>
      <c r="I50" s="151" t="s">
        <v>6</v>
      </c>
      <c r="J50" s="342">
        <f t="shared" si="6"/>
        <v>90.454047619047614</v>
      </c>
      <c r="K50" s="151" t="s">
        <v>362</v>
      </c>
      <c r="L50" s="343"/>
      <c r="M50" s="321"/>
    </row>
    <row r="51" spans="1:13" s="8" customFormat="1" ht="21" x14ac:dyDescent="0.4">
      <c r="A51" s="708"/>
      <c r="B51" s="350"/>
      <c r="C51" s="838"/>
      <c r="D51" s="833"/>
      <c r="E51" s="324"/>
      <c r="F51" s="338"/>
      <c r="G51" s="151"/>
      <c r="H51" s="339"/>
      <c r="I51" s="151"/>
      <c r="J51" s="298"/>
      <c r="K51" s="151"/>
      <c r="L51" s="329"/>
      <c r="M51" s="321"/>
    </row>
    <row r="52" spans="1:13" s="8" customFormat="1" ht="21" customHeight="1" x14ac:dyDescent="0.4">
      <c r="A52" s="708"/>
      <c r="B52" s="951" t="s">
        <v>160</v>
      </c>
      <c r="C52" s="952"/>
      <c r="D52" s="833"/>
      <c r="E52" s="324"/>
      <c r="F52" s="338"/>
      <c r="G52" s="151"/>
      <c r="H52" s="339"/>
      <c r="I52" s="151"/>
      <c r="J52" s="298"/>
      <c r="K52" s="151"/>
      <c r="L52" s="329"/>
      <c r="M52" s="321"/>
    </row>
    <row r="53" spans="1:13" s="8" customFormat="1" ht="21" x14ac:dyDescent="0.4">
      <c r="A53" s="708"/>
      <c r="B53" s="350"/>
      <c r="C53" s="838" t="s">
        <v>264</v>
      </c>
      <c r="D53" s="833"/>
      <c r="E53" s="324"/>
      <c r="F53" s="338">
        <f>IF('Gårdens info'!$D$13&gt;0,J53/'Gårdens info'!$D$13,0)</f>
        <v>0</v>
      </c>
      <c r="G53" s="151" t="s">
        <v>14</v>
      </c>
      <c r="H53" s="613">
        <f>IF('Gårdens info'!$G$13&gt;0,F53/'Gårdens info'!$G$13,0)</f>
        <v>0</v>
      </c>
      <c r="I53" s="151" t="s">
        <v>6</v>
      </c>
      <c r="J53" s="298">
        <f>Ägendom!AI79</f>
        <v>0</v>
      </c>
      <c r="K53" s="151" t="s">
        <v>362</v>
      </c>
      <c r="L53" s="329"/>
      <c r="M53" s="321"/>
    </row>
    <row r="54" spans="1:13" s="8" customFormat="1" ht="19.95" customHeight="1" x14ac:dyDescent="0.4">
      <c r="A54" s="708"/>
      <c r="B54" s="350"/>
      <c r="C54" s="838" t="s">
        <v>265</v>
      </c>
      <c r="D54" s="833"/>
      <c r="E54" s="324"/>
      <c r="F54" s="338">
        <f>IF('Gårdens info'!$D$13&gt;0,J54/'Gårdens info'!$D$13,0)</f>
        <v>0</v>
      </c>
      <c r="G54" s="151" t="s">
        <v>14</v>
      </c>
      <c r="H54" s="613">
        <f>IF('Gårdens info'!$G$13&gt;0,F54/'Gårdens info'!$G$13,0)</f>
        <v>0</v>
      </c>
      <c r="I54" s="151" t="s">
        <v>6</v>
      </c>
      <c r="J54" s="298">
        <f>Ägendom!BE79</f>
        <v>0</v>
      </c>
      <c r="K54" s="151" t="s">
        <v>362</v>
      </c>
      <c r="L54" s="329"/>
      <c r="M54" s="321"/>
    </row>
    <row r="55" spans="1:13" s="8" customFormat="1" ht="17.399999999999999" customHeight="1" x14ac:dyDescent="0.3">
      <c r="A55" s="708"/>
      <c r="B55" s="350"/>
      <c r="C55" s="941" t="s">
        <v>266</v>
      </c>
      <c r="D55" s="941"/>
      <c r="E55" s="324"/>
      <c r="F55" s="338">
        <f>IF('Gårdens info'!$D$13&gt;0,J55/'Gårdens info'!$D$13,0)</f>
        <v>22.222222222222221</v>
      </c>
      <c r="G55" s="151" t="s">
        <v>14</v>
      </c>
      <c r="H55" s="613">
        <f>IF('Gårdens info'!$G$13&gt;0,F55/'Gårdens info'!$G$13,0)</f>
        <v>5.5555555555555558E-3</v>
      </c>
      <c r="I55" s="151" t="s">
        <v>6</v>
      </c>
      <c r="J55" s="298">
        <f>Ägendom!CA79</f>
        <v>22.222222222222221</v>
      </c>
      <c r="K55" s="151" t="s">
        <v>362</v>
      </c>
      <c r="L55" s="329"/>
      <c r="M55" s="321"/>
    </row>
    <row r="56" spans="1:13" s="8" customFormat="1" ht="15.6" x14ac:dyDescent="0.3">
      <c r="A56" s="708"/>
      <c r="B56" s="349"/>
      <c r="C56" s="323" t="s">
        <v>196</v>
      </c>
      <c r="D56" s="323"/>
      <c r="E56" s="323"/>
      <c r="F56" s="342">
        <f>SUM(F53:F55)</f>
        <v>22.222222222222221</v>
      </c>
      <c r="G56" s="151" t="s">
        <v>14</v>
      </c>
      <c r="H56" s="727">
        <f>SUM(H53:H55)</f>
        <v>5.5555555555555558E-3</v>
      </c>
      <c r="I56" s="151" t="s">
        <v>6</v>
      </c>
      <c r="J56" s="342">
        <f t="shared" ref="J56" si="7">SUM(J53:J55)</f>
        <v>22.222222222222221</v>
      </c>
      <c r="K56" s="151" t="s">
        <v>362</v>
      </c>
      <c r="L56" s="347"/>
      <c r="M56" s="353"/>
    </row>
    <row r="57" spans="1:13" s="8" customFormat="1" ht="21" customHeight="1" x14ac:dyDescent="0.4">
      <c r="A57" s="708"/>
      <c r="B57" s="932" t="s">
        <v>229</v>
      </c>
      <c r="C57" s="933"/>
      <c r="D57" s="933"/>
      <c r="E57" s="324"/>
      <c r="F57" s="328">
        <f>F36+F43+F50+F56</f>
        <v>9261.4997266313931</v>
      </c>
      <c r="G57" s="329" t="s">
        <v>14</v>
      </c>
      <c r="H57" s="618">
        <f>H36+H43+H50+H56</f>
        <v>2.315374931657848</v>
      </c>
      <c r="I57" s="329" t="s">
        <v>6</v>
      </c>
      <c r="J57" s="331">
        <f>J36+J43+J50+J56</f>
        <v>9261.4997266313931</v>
      </c>
      <c r="K57" s="329" t="s">
        <v>362</v>
      </c>
      <c r="L57" s="329"/>
      <c r="M57" s="321"/>
    </row>
    <row r="58" spans="1:13" s="8" customFormat="1" ht="15.6" x14ac:dyDescent="0.3">
      <c r="A58" s="708"/>
      <c r="B58" s="349"/>
      <c r="C58" s="324"/>
      <c r="D58" s="324"/>
      <c r="E58" s="324"/>
      <c r="F58" s="325"/>
      <c r="G58" s="304"/>
      <c r="H58" s="326"/>
      <c r="I58" s="304"/>
      <c r="J58" s="320"/>
      <c r="K58" s="304"/>
      <c r="L58" s="327"/>
      <c r="M58" s="321"/>
    </row>
    <row r="59" spans="1:13" s="8" customFormat="1" ht="21" x14ac:dyDescent="0.4">
      <c r="A59" s="708"/>
      <c r="B59" s="319" t="s">
        <v>230</v>
      </c>
      <c r="C59" s="324"/>
      <c r="D59" s="324"/>
      <c r="E59" s="324"/>
      <c r="F59" s="325"/>
      <c r="G59" s="304"/>
      <c r="H59" s="326"/>
      <c r="I59" s="304"/>
      <c r="J59" s="320"/>
      <c r="K59" s="304"/>
      <c r="L59" s="327"/>
      <c r="M59" s="321"/>
    </row>
    <row r="60" spans="1:13" s="8" customFormat="1" ht="15" x14ac:dyDescent="0.25">
      <c r="A60" s="708"/>
      <c r="B60" s="296"/>
      <c r="C60" s="289" t="s">
        <v>230</v>
      </c>
      <c r="D60" s="297"/>
      <c r="E60" s="297"/>
      <c r="F60" s="298">
        <f>IF('Gårdens info'!D13&gt;0,H169,0)</f>
        <v>1261.5</v>
      </c>
      <c r="G60" s="151" t="s">
        <v>14</v>
      </c>
      <c r="H60" s="614">
        <f>IF('Gårdens info'!G13&gt;0,F60/'Gårdens info'!$G$13,0)</f>
        <v>0.31537500000000002</v>
      </c>
      <c r="I60" s="151" t="s">
        <v>6</v>
      </c>
      <c r="J60" s="298">
        <f>F60*'Gårdens info'!D10</f>
        <v>1261.5</v>
      </c>
      <c r="K60" s="151" t="s">
        <v>362</v>
      </c>
      <c r="L60" s="297"/>
      <c r="M60" s="300"/>
    </row>
    <row r="61" spans="1:13" s="8" customFormat="1" ht="17.399999999999999" x14ac:dyDescent="0.3">
      <c r="A61" s="708"/>
      <c r="B61" s="841"/>
      <c r="C61" s="306"/>
      <c r="D61" s="310"/>
      <c r="E61" s="310"/>
      <c r="F61" s="311"/>
      <c r="G61" s="153"/>
      <c r="H61" s="310"/>
      <c r="I61" s="310"/>
      <c r="J61" s="310"/>
      <c r="K61" s="310"/>
      <c r="L61" s="310"/>
      <c r="M61" s="295"/>
    </row>
    <row r="62" spans="1:13" s="8" customFormat="1" ht="21" customHeight="1" x14ac:dyDescent="0.4">
      <c r="A62" s="708"/>
      <c r="B62" s="932" t="s">
        <v>231</v>
      </c>
      <c r="C62" s="933"/>
      <c r="D62" s="933"/>
      <c r="E62" s="324"/>
      <c r="F62" s="328">
        <f>F60</f>
        <v>1261.5</v>
      </c>
      <c r="G62" s="329" t="s">
        <v>14</v>
      </c>
      <c r="H62" s="618">
        <f>H60</f>
        <v>0.31537500000000002</v>
      </c>
      <c r="I62" s="329" t="s">
        <v>6</v>
      </c>
      <c r="J62" s="331">
        <f>J60</f>
        <v>1261.5</v>
      </c>
      <c r="K62" s="329" t="s">
        <v>362</v>
      </c>
      <c r="L62" s="329"/>
      <c r="M62" s="321"/>
    </row>
    <row r="63" spans="1:13" s="8" customFormat="1" ht="21" x14ac:dyDescent="0.4">
      <c r="A63" s="708"/>
      <c r="B63" s="832"/>
      <c r="C63" s="833"/>
      <c r="D63" s="833"/>
      <c r="E63" s="324"/>
      <c r="F63" s="328"/>
      <c r="G63" s="329"/>
      <c r="H63" s="618"/>
      <c r="I63" s="329"/>
      <c r="J63" s="331"/>
      <c r="K63" s="329"/>
      <c r="L63" s="329"/>
      <c r="M63" s="321"/>
    </row>
    <row r="64" spans="1:13" s="8" customFormat="1" ht="21" customHeight="1" x14ac:dyDescent="0.4">
      <c r="A64" s="708"/>
      <c r="B64" s="932" t="s">
        <v>268</v>
      </c>
      <c r="C64" s="933"/>
      <c r="D64" s="933"/>
      <c r="E64" s="324"/>
      <c r="F64" s="328">
        <f>F28+F57+F62</f>
        <v>13654.838985890652</v>
      </c>
      <c r="G64" s="329" t="s">
        <v>14</v>
      </c>
      <c r="H64" s="705">
        <f>H28+H57+H62</f>
        <v>3.4137097464726627</v>
      </c>
      <c r="I64" s="329" t="s">
        <v>6</v>
      </c>
      <c r="J64" s="328">
        <f>J28+J57+J62</f>
        <v>13654.838985890652</v>
      </c>
      <c r="K64" s="329" t="s">
        <v>362</v>
      </c>
      <c r="L64" s="329"/>
      <c r="M64" s="321"/>
    </row>
    <row r="65" spans="1:21" s="8" customFormat="1" ht="21" x14ac:dyDescent="0.4">
      <c r="A65" s="708"/>
      <c r="B65" s="832"/>
      <c r="C65" s="833"/>
      <c r="D65" s="833"/>
      <c r="E65" s="324"/>
      <c r="F65" s="328"/>
      <c r="G65" s="329"/>
      <c r="H65" s="330"/>
      <c r="I65" s="329"/>
      <c r="J65" s="331"/>
      <c r="K65" s="329"/>
      <c r="L65" s="329"/>
      <c r="M65" s="321"/>
    </row>
    <row r="66" spans="1:21" s="8" customFormat="1" ht="21.6" customHeight="1" thickBot="1" x14ac:dyDescent="0.45">
      <c r="A66" s="708"/>
      <c r="B66" s="936" t="s">
        <v>269</v>
      </c>
      <c r="C66" s="937"/>
      <c r="D66" s="937"/>
      <c r="E66" s="315"/>
      <c r="F66" s="355">
        <f>F11-F28-F57-F62</f>
        <v>1545.1610141093479</v>
      </c>
      <c r="G66" s="356" t="s">
        <v>14</v>
      </c>
      <c r="H66" s="621">
        <f>H11-H28-H57-H62</f>
        <v>0.38629025352733709</v>
      </c>
      <c r="I66" s="356" t="s">
        <v>6</v>
      </c>
      <c r="J66" s="355">
        <f>J11-J28-J57-J62</f>
        <v>1545.1610141093479</v>
      </c>
      <c r="K66" s="356" t="s">
        <v>362</v>
      </c>
      <c r="L66" s="356"/>
      <c r="M66" s="316"/>
    </row>
    <row r="67" spans="1:21" s="8" customFormat="1" ht="21" x14ac:dyDescent="0.4">
      <c r="A67" s="708"/>
      <c r="B67" s="76"/>
      <c r="C67"/>
      <c r="D67"/>
      <c r="E67"/>
      <c r="F67"/>
      <c r="G67"/>
      <c r="H67"/>
      <c r="I67"/>
      <c r="J67"/>
      <c r="K67"/>
      <c r="L67"/>
      <c r="M67"/>
    </row>
    <row r="68" spans="1:21" s="239" customFormat="1" ht="16.2" thickBot="1" x14ac:dyDescent="0.35">
      <c r="A68" s="712"/>
      <c r="B68"/>
      <c r="C68"/>
      <c r="D68"/>
      <c r="E68"/>
      <c r="F68"/>
      <c r="G68"/>
      <c r="H68"/>
      <c r="I68"/>
      <c r="J68"/>
      <c r="K68"/>
      <c r="L68"/>
      <c r="M68"/>
      <c r="N68" s="8"/>
      <c r="O68" s="8"/>
      <c r="P68" s="8"/>
      <c r="Q68" s="8"/>
      <c r="R68" s="8"/>
      <c r="S68" s="8"/>
      <c r="T68" s="8"/>
      <c r="U68" s="8"/>
    </row>
    <row r="69" spans="1:21" s="8" customFormat="1" ht="21.6" customHeight="1" thickBot="1" x14ac:dyDescent="0.45">
      <c r="A69" s="708"/>
      <c r="B69" s="953" t="s">
        <v>270</v>
      </c>
      <c r="C69" s="954"/>
      <c r="D69" s="954"/>
      <c r="E69" s="955"/>
      <c r="F69"/>
      <c r="G69"/>
      <c r="H69"/>
      <c r="I69"/>
      <c r="J69"/>
      <c r="K69"/>
      <c r="L69" s="956" t="s">
        <v>271</v>
      </c>
      <c r="M69" s="956"/>
    </row>
    <row r="70" spans="1:21" s="8" customFormat="1" ht="21" x14ac:dyDescent="0.4">
      <c r="A70" s="708"/>
      <c r="B70" s="692"/>
      <c r="C70" s="692"/>
      <c r="D70" s="692"/>
      <c r="E70" s="692"/>
      <c r="F70" s="534"/>
      <c r="G70" s="534"/>
      <c r="H70" s="534"/>
      <c r="I70" s="534"/>
      <c r="J70" s="534"/>
      <c r="K70" s="534"/>
      <c r="L70" s="698"/>
      <c r="M70" s="698"/>
    </row>
    <row r="71" spans="1:21" ht="15.6" x14ac:dyDescent="0.3">
      <c r="B71" s="113" t="s">
        <v>243</v>
      </c>
      <c r="C71" s="65"/>
      <c r="D71" s="65"/>
      <c r="E71" s="65"/>
      <c r="F71" s="959" t="s">
        <v>159</v>
      </c>
      <c r="G71" s="959"/>
      <c r="H71" s="959" t="s">
        <v>158</v>
      </c>
      <c r="I71" s="959"/>
      <c r="J71" s="959" t="s">
        <v>273</v>
      </c>
      <c r="K71" s="959"/>
      <c r="L71" s="143" t="s">
        <v>274</v>
      </c>
      <c r="M71" s="67"/>
    </row>
    <row r="72" spans="1:21" ht="13.8" thickBot="1" x14ac:dyDescent="0.3">
      <c r="B72" s="69"/>
      <c r="C72" s="65"/>
      <c r="D72" s="65"/>
      <c r="E72" s="65"/>
      <c r="F72" s="65"/>
      <c r="G72" s="65"/>
      <c r="H72" s="65"/>
      <c r="I72" s="65"/>
      <c r="J72" s="67"/>
      <c r="K72" s="67"/>
      <c r="L72" s="67"/>
      <c r="M72" s="67"/>
    </row>
    <row r="73" spans="1:21" ht="13.8" thickBot="1" x14ac:dyDescent="0.3">
      <c r="B73" s="65"/>
      <c r="C73" s="66" t="s">
        <v>363</v>
      </c>
      <c r="D73" s="67"/>
      <c r="E73" s="65"/>
      <c r="F73" s="96">
        <v>150</v>
      </c>
      <c r="G73" s="65" t="s">
        <v>1</v>
      </c>
      <c r="H73" s="96">
        <v>2.1</v>
      </c>
      <c r="I73" s="70" t="s">
        <v>6</v>
      </c>
      <c r="J73" s="235">
        <f>F73*H73</f>
        <v>315</v>
      </c>
      <c r="K73" s="65" t="s">
        <v>14</v>
      </c>
      <c r="L73" s="65"/>
      <c r="M73" s="67"/>
    </row>
    <row r="74" spans="1:21" s="8" customFormat="1" x14ac:dyDescent="0.25">
      <c r="A74" s="708"/>
      <c r="B74" s="71"/>
      <c r="C74" s="71" t="s">
        <v>196</v>
      </c>
      <c r="D74" s="572"/>
      <c r="E74" s="71"/>
      <c r="F74" s="277"/>
      <c r="G74" s="573"/>
      <c r="H74" s="574"/>
      <c r="I74" s="279"/>
      <c r="J74" s="280"/>
      <c r="K74" s="71"/>
      <c r="L74" s="71"/>
      <c r="M74" s="71"/>
    </row>
    <row r="75" spans="1:21" x14ac:dyDescent="0.25">
      <c r="B75" s="535"/>
      <c r="C75" s="535"/>
      <c r="D75" s="569"/>
      <c r="E75" s="535"/>
      <c r="F75" s="570"/>
      <c r="G75" s="535"/>
      <c r="H75" s="307"/>
      <c r="I75" s="537"/>
      <c r="J75" s="571"/>
      <c r="K75" s="535"/>
      <c r="L75" s="534"/>
      <c r="M75" s="534"/>
    </row>
    <row r="76" spans="1:21" s="8" customFormat="1" ht="15.6" x14ac:dyDescent="0.3">
      <c r="A76" s="708"/>
      <c r="B76" s="120" t="s">
        <v>275</v>
      </c>
      <c r="C76" s="121"/>
      <c r="D76" s="121"/>
      <c r="E76" s="121"/>
      <c r="F76" s="960" t="s">
        <v>159</v>
      </c>
      <c r="G76" s="960"/>
      <c r="H76" s="960" t="s">
        <v>158</v>
      </c>
      <c r="I76" s="960"/>
      <c r="J76" s="960" t="s">
        <v>273</v>
      </c>
      <c r="K76" s="960"/>
      <c r="L76" s="123"/>
      <c r="M76" s="123"/>
    </row>
    <row r="77" spans="1:21" s="77" customFormat="1" ht="18" thickBot="1" x14ac:dyDescent="0.35">
      <c r="A77" s="710"/>
      <c r="B77" s="121"/>
      <c r="C77" s="121"/>
      <c r="D77" s="121"/>
      <c r="E77" s="121"/>
      <c r="F77" s="121"/>
      <c r="G77" s="121"/>
      <c r="H77" s="122"/>
      <c r="I77" s="122"/>
      <c r="J77" s="123"/>
      <c r="K77" s="123"/>
      <c r="L77" s="123"/>
      <c r="M77" s="123"/>
      <c r="N77" s="8"/>
      <c r="O77" s="8"/>
      <c r="P77" s="8"/>
      <c r="Q77" s="8"/>
      <c r="R77" s="8"/>
      <c r="S77" s="8"/>
      <c r="T77" s="8"/>
      <c r="U77" s="8"/>
    </row>
    <row r="78" spans="1:21" s="91" customFormat="1" ht="15.6" thickBot="1" x14ac:dyDescent="0.3">
      <c r="A78" s="709"/>
      <c r="B78" s="121"/>
      <c r="C78" s="121" t="s">
        <v>93</v>
      </c>
      <c r="D78" s="123"/>
      <c r="E78" s="121"/>
      <c r="F78" s="118">
        <v>300</v>
      </c>
      <c r="G78" s="121" t="s">
        <v>21</v>
      </c>
      <c r="H78" s="99">
        <v>0.8</v>
      </c>
      <c r="I78" s="122" t="s">
        <v>6</v>
      </c>
      <c r="J78" s="124">
        <f>F78*H78</f>
        <v>240</v>
      </c>
      <c r="K78" s="121" t="s">
        <v>14</v>
      </c>
      <c r="L78" s="123"/>
      <c r="M78" s="123"/>
      <c r="N78" s="8"/>
      <c r="O78" s="8"/>
      <c r="P78" s="8"/>
      <c r="Q78" s="8"/>
      <c r="R78" s="8"/>
      <c r="S78" s="8"/>
      <c r="T78" s="8"/>
      <c r="U78" s="8"/>
    </row>
    <row r="79" spans="1:21" s="91" customFormat="1" ht="15.6" thickBot="1" x14ac:dyDescent="0.3">
      <c r="A79" s="709"/>
      <c r="B79" s="121"/>
      <c r="C79" s="121" t="s">
        <v>279</v>
      </c>
      <c r="D79" s="123"/>
      <c r="E79" s="121"/>
      <c r="F79" s="96">
        <v>1400</v>
      </c>
      <c r="G79" s="121" t="s">
        <v>21</v>
      </c>
      <c r="H79" s="99">
        <v>0.46</v>
      </c>
      <c r="I79" s="122" t="s">
        <v>6</v>
      </c>
      <c r="J79" s="124">
        <f t="shared" ref="J79:J81" si="8">F79*H79</f>
        <v>644</v>
      </c>
      <c r="K79" s="121" t="s">
        <v>14</v>
      </c>
      <c r="L79" s="123"/>
      <c r="M79" s="123"/>
      <c r="N79" s="8"/>
      <c r="O79" s="8"/>
      <c r="P79" s="8"/>
      <c r="Q79" s="8"/>
      <c r="R79" s="8"/>
      <c r="S79" s="8"/>
      <c r="T79" s="8"/>
      <c r="U79" s="8"/>
    </row>
    <row r="80" spans="1:21" s="77" customFormat="1" ht="18" thickBot="1" x14ac:dyDescent="0.35">
      <c r="A80" s="710"/>
      <c r="B80" s="121"/>
      <c r="C80" s="121" t="s">
        <v>280</v>
      </c>
      <c r="D80" s="121"/>
      <c r="E80" s="121"/>
      <c r="F80" s="96"/>
      <c r="G80" s="121" t="s">
        <v>21</v>
      </c>
      <c r="H80" s="99"/>
      <c r="I80" s="122" t="s">
        <v>6</v>
      </c>
      <c r="J80" s="124">
        <f t="shared" si="8"/>
        <v>0</v>
      </c>
      <c r="K80" s="121" t="s">
        <v>14</v>
      </c>
      <c r="L80" s="123"/>
      <c r="M80" s="123"/>
    </row>
    <row r="81" spans="1:21" ht="15.6" thickBot="1" x14ac:dyDescent="0.3">
      <c r="B81" s="121"/>
      <c r="C81" s="121" t="s">
        <v>280</v>
      </c>
      <c r="D81" s="121"/>
      <c r="E81" s="121"/>
      <c r="F81" s="96"/>
      <c r="G81" s="121" t="s">
        <v>21</v>
      </c>
      <c r="H81" s="99"/>
      <c r="I81" s="122" t="s">
        <v>6</v>
      </c>
      <c r="J81" s="124">
        <f t="shared" si="8"/>
        <v>0</v>
      </c>
      <c r="K81" s="121" t="s">
        <v>14</v>
      </c>
      <c r="L81" s="123"/>
      <c r="M81" s="123"/>
      <c r="N81" s="91"/>
      <c r="O81" s="91"/>
      <c r="P81" s="91"/>
      <c r="Q81" s="91"/>
      <c r="R81" s="91"/>
      <c r="S81" s="91"/>
      <c r="T81" s="91"/>
      <c r="U81" s="91"/>
    </row>
    <row r="82" spans="1:21" s="91" customFormat="1" ht="17.399999999999999" x14ac:dyDescent="0.3">
      <c r="A82" s="709"/>
      <c r="B82" s="270"/>
      <c r="C82" s="270" t="s">
        <v>222</v>
      </c>
      <c r="D82" s="270"/>
      <c r="E82" s="270"/>
      <c r="F82" s="270"/>
      <c r="G82" s="270"/>
      <c r="H82" s="270"/>
      <c r="I82" s="271"/>
      <c r="J82" s="272">
        <f>SUM(J78:J81)</f>
        <v>884</v>
      </c>
      <c r="K82" s="270" t="s">
        <v>14</v>
      </c>
      <c r="L82" s="270"/>
      <c r="M82" s="270"/>
      <c r="N82" s="77"/>
      <c r="O82" s="77"/>
      <c r="P82" s="77"/>
      <c r="Q82" s="77"/>
      <c r="R82" s="77"/>
      <c r="S82" s="77"/>
      <c r="T82" s="77"/>
      <c r="U82" s="77"/>
    </row>
    <row r="83" spans="1:21" s="8" customFormat="1" x14ac:dyDescent="0.25">
      <c r="A83" s="708"/>
      <c r="B83" s="121"/>
      <c r="C83" s="121"/>
      <c r="D83" s="121"/>
      <c r="E83" s="121"/>
      <c r="F83" s="121"/>
      <c r="G83" s="121"/>
      <c r="H83" s="121"/>
      <c r="I83" s="122"/>
      <c r="J83" s="124"/>
      <c r="K83" s="121"/>
      <c r="L83" s="123"/>
      <c r="M83" s="123"/>
      <c r="N83"/>
      <c r="O83"/>
      <c r="P83"/>
      <c r="Q83"/>
      <c r="R83"/>
      <c r="S83"/>
      <c r="T83"/>
      <c r="U83"/>
    </row>
    <row r="84" spans="1:21" s="8" customFormat="1" ht="15" x14ac:dyDescent="0.25">
      <c r="A84" s="708"/>
      <c r="B84"/>
      <c r="C84"/>
      <c r="D84"/>
      <c r="E84"/>
      <c r="F84"/>
      <c r="G84"/>
      <c r="H84"/>
      <c r="I84"/>
      <c r="J84"/>
      <c r="K84"/>
      <c r="L84"/>
      <c r="M84"/>
      <c r="N84" s="91"/>
      <c r="O84" s="91"/>
      <c r="P84" s="91"/>
      <c r="Q84" s="91"/>
      <c r="R84" s="91"/>
      <c r="S84" s="91"/>
      <c r="T84" s="91"/>
      <c r="U84" s="91"/>
    </row>
    <row r="85" spans="1:21" s="8" customFormat="1" ht="15.6" x14ac:dyDescent="0.3">
      <c r="A85" s="708"/>
      <c r="B85" s="109" t="s">
        <v>282</v>
      </c>
      <c r="C85" s="72"/>
      <c r="D85" s="72"/>
      <c r="E85" s="72"/>
      <c r="F85" s="957" t="s">
        <v>159</v>
      </c>
      <c r="G85" s="957"/>
      <c r="H85" s="958" t="s">
        <v>158</v>
      </c>
      <c r="I85" s="958"/>
      <c r="J85" s="957" t="s">
        <v>273</v>
      </c>
      <c r="K85" s="957"/>
      <c r="L85" s="79"/>
      <c r="M85" s="79"/>
    </row>
    <row r="86" spans="1:21" x14ac:dyDescent="0.25">
      <c r="B86" s="72"/>
      <c r="C86" s="72"/>
      <c r="D86" s="72"/>
      <c r="E86" s="72"/>
      <c r="F86" s="74"/>
      <c r="G86" s="74"/>
      <c r="H86" s="73"/>
      <c r="I86" s="73"/>
      <c r="J86" s="73"/>
      <c r="K86" s="79"/>
      <c r="L86" s="79"/>
      <c r="M86" s="79"/>
      <c r="N86" s="8"/>
      <c r="O86" s="8"/>
      <c r="P86" s="8"/>
      <c r="Q86" s="8"/>
      <c r="R86" s="8"/>
      <c r="S86" s="8"/>
      <c r="T86" s="8"/>
      <c r="U86" s="8"/>
    </row>
    <row r="87" spans="1:21" ht="15.6" x14ac:dyDescent="0.3">
      <c r="B87" s="109"/>
      <c r="C87" s="72"/>
      <c r="D87" s="462" t="s">
        <v>364</v>
      </c>
      <c r="E87" s="72"/>
      <c r="F87" s="836"/>
      <c r="G87" s="836"/>
      <c r="H87" s="837"/>
      <c r="I87" s="837"/>
      <c r="J87" s="836"/>
      <c r="K87" s="836"/>
      <c r="L87" s="79"/>
      <c r="M87" s="79"/>
    </row>
    <row r="88" spans="1:21" ht="13.8" thickBot="1" x14ac:dyDescent="0.3">
      <c r="B88" s="214" t="s">
        <v>357</v>
      </c>
      <c r="C88" s="72"/>
      <c r="D88" s="72"/>
      <c r="E88" s="72"/>
      <c r="F88" s="74"/>
      <c r="G88" s="74"/>
      <c r="H88" s="73"/>
      <c r="I88" s="73"/>
      <c r="J88" s="79"/>
      <c r="K88" s="79"/>
      <c r="L88" s="79"/>
      <c r="M88" s="79"/>
    </row>
    <row r="89" spans="1:21" ht="13.8" thickBot="1" x14ac:dyDescent="0.3">
      <c r="B89" s="72"/>
      <c r="C89" s="72" t="s">
        <v>60</v>
      </c>
      <c r="D89" s="79"/>
      <c r="E89" s="72"/>
      <c r="F89" s="119">
        <v>0.9</v>
      </c>
      <c r="G89" s="74" t="s">
        <v>20</v>
      </c>
      <c r="H89" s="99">
        <v>26.8</v>
      </c>
      <c r="I89" s="73" t="s">
        <v>5</v>
      </c>
      <c r="J89" s="79">
        <f>F89*H89</f>
        <v>24.12</v>
      </c>
      <c r="K89" s="72" t="s">
        <v>14</v>
      </c>
      <c r="L89" s="79"/>
      <c r="M89" s="79"/>
    </row>
    <row r="90" spans="1:21" ht="13.8" thickBot="1" x14ac:dyDescent="0.3">
      <c r="B90" s="72"/>
      <c r="C90" s="72" t="s">
        <v>94</v>
      </c>
      <c r="D90" s="79"/>
      <c r="E90" s="72"/>
      <c r="F90" s="119">
        <v>1.5</v>
      </c>
      <c r="G90" s="74" t="s">
        <v>21</v>
      </c>
      <c r="H90" s="99">
        <v>83</v>
      </c>
      <c r="I90" s="73" t="s">
        <v>6</v>
      </c>
      <c r="J90" s="79">
        <f t="shared" ref="J90:J94" si="9">F90*H90</f>
        <v>124.5</v>
      </c>
      <c r="K90" s="72" t="s">
        <v>14</v>
      </c>
      <c r="L90" s="79"/>
      <c r="M90" s="79"/>
    </row>
    <row r="91" spans="1:21" ht="13.8" thickBot="1" x14ac:dyDescent="0.3">
      <c r="B91" s="72"/>
      <c r="C91" s="72" t="s">
        <v>95</v>
      </c>
      <c r="D91" s="79"/>
      <c r="E91" s="72"/>
      <c r="F91" s="119">
        <v>0.4</v>
      </c>
      <c r="G91" s="74" t="s">
        <v>20</v>
      </c>
      <c r="H91" s="99">
        <v>39</v>
      </c>
      <c r="I91" s="73" t="s">
        <v>5</v>
      </c>
      <c r="J91" s="79">
        <f t="shared" ref="J91:J92" si="10">F91*H91</f>
        <v>15.600000000000001</v>
      </c>
      <c r="K91" s="72" t="s">
        <v>14</v>
      </c>
      <c r="L91" s="79"/>
      <c r="M91" s="79"/>
    </row>
    <row r="92" spans="1:21" ht="13.8" thickBot="1" x14ac:dyDescent="0.3">
      <c r="B92" s="72"/>
      <c r="C92" s="72" t="s">
        <v>326</v>
      </c>
      <c r="D92" s="79"/>
      <c r="E92" s="72"/>
      <c r="F92" s="119"/>
      <c r="G92" s="74" t="s">
        <v>20</v>
      </c>
      <c r="H92" s="99"/>
      <c r="I92" s="73" t="s">
        <v>5</v>
      </c>
      <c r="J92" s="79">
        <f t="shared" si="10"/>
        <v>0</v>
      </c>
      <c r="K92" s="72" t="s">
        <v>14</v>
      </c>
      <c r="L92" s="79"/>
      <c r="M92" s="79"/>
    </row>
    <row r="93" spans="1:21" ht="13.8" thickBot="1" x14ac:dyDescent="0.3">
      <c r="B93" s="72"/>
      <c r="C93" s="72" t="s">
        <v>326</v>
      </c>
      <c r="D93" s="72"/>
      <c r="E93" s="72"/>
      <c r="F93" s="119"/>
      <c r="G93" s="74" t="s">
        <v>20</v>
      </c>
      <c r="H93" s="99"/>
      <c r="I93" s="73" t="s">
        <v>5</v>
      </c>
      <c r="J93" s="79">
        <f t="shared" si="9"/>
        <v>0</v>
      </c>
      <c r="K93" s="72" t="s">
        <v>14</v>
      </c>
      <c r="L93" s="79"/>
      <c r="M93" s="79"/>
    </row>
    <row r="94" spans="1:21" ht="13.8" thickBot="1" x14ac:dyDescent="0.3">
      <c r="B94" s="72"/>
      <c r="C94" s="72" t="s">
        <v>326</v>
      </c>
      <c r="D94" s="72"/>
      <c r="E94" s="72"/>
      <c r="F94" s="119"/>
      <c r="G94" s="74" t="s">
        <v>20</v>
      </c>
      <c r="H94" s="99"/>
      <c r="I94" s="73" t="s">
        <v>5</v>
      </c>
      <c r="J94" s="79">
        <f t="shared" si="9"/>
        <v>0</v>
      </c>
      <c r="K94" s="72" t="s">
        <v>14</v>
      </c>
      <c r="L94" s="79"/>
      <c r="M94" s="79"/>
    </row>
    <row r="95" spans="1:21" x14ac:dyDescent="0.25">
      <c r="B95" s="72"/>
      <c r="C95" s="72"/>
      <c r="D95" s="72"/>
      <c r="E95" s="72"/>
      <c r="F95" s="212"/>
      <c r="G95" s="74"/>
      <c r="H95" s="213"/>
      <c r="I95" s="73"/>
      <c r="J95" s="79"/>
      <c r="K95" s="72"/>
      <c r="L95" s="79"/>
      <c r="M95" s="79"/>
    </row>
    <row r="96" spans="1:21" ht="13.8" thickBot="1" x14ac:dyDescent="0.3">
      <c r="B96" s="214" t="s">
        <v>358</v>
      </c>
      <c r="C96" s="72"/>
      <c r="D96" s="72"/>
      <c r="E96" s="72"/>
      <c r="F96" s="212"/>
      <c r="G96" s="74"/>
      <c r="H96" s="213"/>
      <c r="I96" s="73"/>
      <c r="J96" s="79"/>
      <c r="K96" s="72"/>
      <c r="L96" s="79"/>
      <c r="M96" s="79"/>
    </row>
    <row r="97" spans="1:15" ht="13.8" thickBot="1" x14ac:dyDescent="0.3">
      <c r="B97" s="72"/>
      <c r="C97" s="72" t="s">
        <v>61</v>
      </c>
      <c r="D97" s="72"/>
      <c r="E97" s="72"/>
      <c r="F97" s="119">
        <v>5</v>
      </c>
      <c r="G97" s="74" t="s">
        <v>62</v>
      </c>
      <c r="H97" s="119">
        <v>13</v>
      </c>
      <c r="I97" s="73" t="s">
        <v>63</v>
      </c>
      <c r="J97" s="79">
        <f t="shared" ref="J97:J101" si="11">F97*H97</f>
        <v>65</v>
      </c>
      <c r="K97" s="72" t="s">
        <v>14</v>
      </c>
      <c r="L97" s="79"/>
      <c r="M97" s="79"/>
    </row>
    <row r="98" spans="1:15" ht="13.8" thickBot="1" x14ac:dyDescent="0.3">
      <c r="B98" s="72"/>
      <c r="C98" s="72" t="s">
        <v>326</v>
      </c>
      <c r="D98" s="72"/>
      <c r="E98" s="72"/>
      <c r="F98" s="119"/>
      <c r="G98" s="74" t="s">
        <v>20</v>
      </c>
      <c r="H98" s="119"/>
      <c r="I98" s="73" t="s">
        <v>5</v>
      </c>
      <c r="J98" s="79">
        <f t="shared" si="11"/>
        <v>0</v>
      </c>
      <c r="K98" s="72" t="s">
        <v>14</v>
      </c>
      <c r="L98" s="79"/>
      <c r="M98" s="79"/>
    </row>
    <row r="99" spans="1:15" ht="13.8" thickBot="1" x14ac:dyDescent="0.3">
      <c r="B99" s="72"/>
      <c r="C99" s="72" t="s">
        <v>326</v>
      </c>
      <c r="D99" s="72"/>
      <c r="E99" s="72"/>
      <c r="F99" s="119"/>
      <c r="G99" s="74" t="s">
        <v>20</v>
      </c>
      <c r="H99" s="119"/>
      <c r="I99" s="73" t="s">
        <v>5</v>
      </c>
      <c r="J99" s="79">
        <f t="shared" si="11"/>
        <v>0</v>
      </c>
      <c r="K99" s="72" t="s">
        <v>14</v>
      </c>
      <c r="L99" s="79"/>
      <c r="M99" s="79"/>
    </row>
    <row r="100" spans="1:15" ht="13.8" thickBot="1" x14ac:dyDescent="0.3">
      <c r="B100" s="72"/>
      <c r="C100" s="72" t="s">
        <v>326</v>
      </c>
      <c r="D100" s="72"/>
      <c r="E100" s="72"/>
      <c r="F100" s="119"/>
      <c r="G100" s="74" t="s">
        <v>20</v>
      </c>
      <c r="H100" s="119"/>
      <c r="I100" s="73" t="s">
        <v>5</v>
      </c>
      <c r="J100" s="79">
        <f t="shared" si="11"/>
        <v>0</v>
      </c>
      <c r="K100" s="72" t="s">
        <v>14</v>
      </c>
      <c r="L100" s="79"/>
      <c r="M100" s="79"/>
    </row>
    <row r="101" spans="1:15" ht="13.8" thickBot="1" x14ac:dyDescent="0.3">
      <c r="B101" s="72"/>
      <c r="C101" s="72" t="s">
        <v>326</v>
      </c>
      <c r="D101" s="72"/>
      <c r="E101" s="72"/>
      <c r="F101" s="119"/>
      <c r="G101" s="74" t="s">
        <v>20</v>
      </c>
      <c r="H101" s="119"/>
      <c r="I101" s="73" t="s">
        <v>5</v>
      </c>
      <c r="J101" s="79">
        <f t="shared" si="11"/>
        <v>0</v>
      </c>
      <c r="K101" s="72" t="s">
        <v>14</v>
      </c>
      <c r="L101" s="79"/>
      <c r="M101" s="79"/>
    </row>
    <row r="102" spans="1:15" s="8" customFormat="1" x14ac:dyDescent="0.25">
      <c r="A102" s="708"/>
      <c r="B102" s="241"/>
      <c r="C102" s="241" t="s">
        <v>196</v>
      </c>
      <c r="D102" s="241"/>
      <c r="E102" s="241"/>
      <c r="F102" s="273"/>
      <c r="G102" s="242"/>
      <c r="H102" s="273"/>
      <c r="I102" s="243"/>
      <c r="J102" s="243">
        <f>SUM(J89:J101)</f>
        <v>229.22</v>
      </c>
      <c r="K102" s="241" t="s">
        <v>14</v>
      </c>
      <c r="L102" s="241"/>
      <c r="M102" s="241"/>
    </row>
    <row r="103" spans="1:15" x14ac:dyDescent="0.25">
      <c r="B103" s="72"/>
      <c r="C103" s="72"/>
      <c r="D103" s="72"/>
      <c r="E103" s="72"/>
      <c r="F103" s="74"/>
      <c r="G103" s="74"/>
      <c r="H103" s="73"/>
      <c r="I103" s="73"/>
      <c r="J103" s="79"/>
      <c r="K103" s="72"/>
      <c r="L103" s="79"/>
      <c r="M103" s="79"/>
    </row>
    <row r="104" spans="1:15" x14ac:dyDescent="0.25">
      <c r="A104" s="713"/>
      <c r="N104" s="5"/>
      <c r="O104" s="5"/>
    </row>
    <row r="105" spans="1:15" ht="15.6" x14ac:dyDescent="0.3">
      <c r="A105" s="713"/>
      <c r="B105" s="110" t="s">
        <v>285</v>
      </c>
      <c r="C105" s="82"/>
      <c r="D105" s="82"/>
      <c r="E105" s="82"/>
      <c r="F105" s="965" t="s">
        <v>159</v>
      </c>
      <c r="G105" s="965"/>
      <c r="H105" s="965" t="s">
        <v>158</v>
      </c>
      <c r="I105" s="965"/>
      <c r="J105" s="965" t="s">
        <v>273</v>
      </c>
      <c r="K105" s="965"/>
      <c r="L105" s="84"/>
      <c r="M105" s="84"/>
      <c r="N105" s="5"/>
      <c r="O105" s="5"/>
    </row>
    <row r="106" spans="1:15" ht="13.8" thickBot="1" x14ac:dyDescent="0.3">
      <c r="A106" s="713"/>
      <c r="B106" s="82"/>
      <c r="C106" s="82"/>
      <c r="D106" s="82"/>
      <c r="E106" s="82"/>
      <c r="F106" s="82"/>
      <c r="G106" s="82"/>
      <c r="H106" s="83"/>
      <c r="I106" s="83"/>
      <c r="J106" s="84"/>
      <c r="K106" s="84"/>
      <c r="L106" s="84"/>
      <c r="M106" s="84"/>
      <c r="N106" s="5"/>
      <c r="O106" s="5"/>
    </row>
    <row r="107" spans="1:15" ht="13.8" thickBot="1" x14ac:dyDescent="0.3">
      <c r="A107" s="713"/>
      <c r="B107" s="82"/>
      <c r="C107" s="82" t="s">
        <v>325</v>
      </c>
      <c r="D107" s="84"/>
      <c r="E107" s="82"/>
      <c r="F107" s="463">
        <f>S10*'Gårdens info'!$G$13/1</f>
        <v>4000</v>
      </c>
      <c r="G107" s="82" t="s">
        <v>153</v>
      </c>
      <c r="H107" s="99">
        <v>0.01</v>
      </c>
      <c r="I107" s="83" t="s">
        <v>152</v>
      </c>
      <c r="J107" s="85">
        <f>F107*H107</f>
        <v>40</v>
      </c>
      <c r="K107" s="82" t="s">
        <v>14</v>
      </c>
      <c r="L107" s="84"/>
      <c r="M107" s="84"/>
      <c r="N107" s="5"/>
      <c r="O107" s="5"/>
    </row>
    <row r="108" spans="1:15" ht="13.8" thickBot="1" x14ac:dyDescent="0.3">
      <c r="A108" s="713"/>
      <c r="B108" s="82"/>
      <c r="C108" s="82" t="s">
        <v>287</v>
      </c>
      <c r="D108" s="84"/>
      <c r="E108" s="82"/>
      <c r="F108" s="463">
        <f>S11*'Gårdens info'!$G$13/1</f>
        <v>0</v>
      </c>
      <c r="G108" s="82" t="s">
        <v>153</v>
      </c>
      <c r="H108" s="99">
        <v>0.01</v>
      </c>
      <c r="I108" s="83" t="s">
        <v>152</v>
      </c>
      <c r="J108" s="85">
        <f t="shared" ref="J108:J114" si="12">F108*H108</f>
        <v>0</v>
      </c>
      <c r="K108" s="82" t="s">
        <v>14</v>
      </c>
      <c r="L108" s="84"/>
      <c r="M108" s="84"/>
      <c r="N108" s="5"/>
      <c r="O108" s="5"/>
    </row>
    <row r="109" spans="1:15" ht="13.8" thickBot="1" x14ac:dyDescent="0.3">
      <c r="A109" s="713"/>
      <c r="B109" s="82"/>
      <c r="C109" s="82" t="s">
        <v>288</v>
      </c>
      <c r="D109" s="84"/>
      <c r="E109" s="82"/>
      <c r="F109" s="463">
        <f>S12*'Gårdens info'!$G$13/1</f>
        <v>0</v>
      </c>
      <c r="G109" s="82" t="s">
        <v>153</v>
      </c>
      <c r="H109" s="99">
        <v>0.01</v>
      </c>
      <c r="I109" s="83" t="s">
        <v>152</v>
      </c>
      <c r="J109" s="85">
        <f t="shared" si="12"/>
        <v>0</v>
      </c>
      <c r="K109" s="82" t="s">
        <v>14</v>
      </c>
      <c r="L109" s="84"/>
      <c r="M109" s="84"/>
      <c r="N109" s="5"/>
      <c r="O109" s="5"/>
    </row>
    <row r="110" spans="1:15" ht="13.8" thickBot="1" x14ac:dyDescent="0.3">
      <c r="A110" s="713"/>
      <c r="B110" s="82"/>
      <c r="C110" s="82" t="s">
        <v>289</v>
      </c>
      <c r="D110" s="84"/>
      <c r="E110" s="82"/>
      <c r="F110" s="463">
        <f>S13*'Gårdens info'!$G$13/1</f>
        <v>0</v>
      </c>
      <c r="G110" s="82" t="s">
        <v>153</v>
      </c>
      <c r="H110" s="99">
        <v>0.05</v>
      </c>
      <c r="I110" s="83" t="s">
        <v>152</v>
      </c>
      <c r="J110" s="85">
        <f t="shared" si="12"/>
        <v>0</v>
      </c>
      <c r="K110" s="82" t="s">
        <v>14</v>
      </c>
      <c r="L110" s="84"/>
      <c r="M110" s="84"/>
      <c r="N110" s="5"/>
      <c r="O110" s="5"/>
    </row>
    <row r="111" spans="1:15" ht="13.8" thickBot="1" x14ac:dyDescent="0.3">
      <c r="A111" s="713"/>
      <c r="B111" s="82"/>
      <c r="C111" s="119" t="s">
        <v>290</v>
      </c>
      <c r="D111" s="99"/>
      <c r="E111" s="82" t="s">
        <v>21</v>
      </c>
      <c r="F111" s="463">
        <f>IF(S14&gt;0,S14*'Gårdens info'!$G$13/D111,0)</f>
        <v>0</v>
      </c>
      <c r="G111" s="82" t="s">
        <v>153</v>
      </c>
      <c r="H111" s="99"/>
      <c r="I111" s="83" t="s">
        <v>152</v>
      </c>
      <c r="J111" s="85">
        <f t="shared" ref="J111:J112" si="13">F111*H111</f>
        <v>0</v>
      </c>
      <c r="K111" s="82" t="s">
        <v>14</v>
      </c>
      <c r="L111" s="84"/>
      <c r="M111" s="84"/>
      <c r="N111" s="5"/>
      <c r="O111" s="5"/>
    </row>
    <row r="112" spans="1:15" ht="13.8" thickBot="1" x14ac:dyDescent="0.3">
      <c r="A112" s="713"/>
      <c r="B112" s="82"/>
      <c r="C112" s="119" t="s">
        <v>290</v>
      </c>
      <c r="D112" s="99"/>
      <c r="E112" s="82" t="s">
        <v>21</v>
      </c>
      <c r="F112" s="463">
        <f>IF(S15&gt;0,S15*'Gårdens info'!$G$13/D112,0)</f>
        <v>0</v>
      </c>
      <c r="G112" s="82" t="s">
        <v>153</v>
      </c>
      <c r="H112" s="99"/>
      <c r="I112" s="83" t="s">
        <v>152</v>
      </c>
      <c r="J112" s="85">
        <f t="shared" si="13"/>
        <v>0</v>
      </c>
      <c r="K112" s="82" t="s">
        <v>14</v>
      </c>
      <c r="L112" s="84"/>
      <c r="M112" s="84"/>
      <c r="N112" s="5"/>
      <c r="O112" s="5"/>
    </row>
    <row r="113" spans="1:21" ht="13.8" thickBot="1" x14ac:dyDescent="0.3">
      <c r="A113" s="713"/>
      <c r="B113" s="82"/>
      <c r="C113" s="119" t="s">
        <v>290</v>
      </c>
      <c r="D113" s="99"/>
      <c r="E113" s="82" t="s">
        <v>21</v>
      </c>
      <c r="F113" s="463">
        <f>IF(S16&gt;0,S16*'Gårdens info'!$G$13/D113,0)</f>
        <v>0</v>
      </c>
      <c r="G113" s="82" t="s">
        <v>153</v>
      </c>
      <c r="H113" s="99"/>
      <c r="I113" s="83" t="s">
        <v>152</v>
      </c>
      <c r="J113" s="85">
        <f t="shared" si="12"/>
        <v>0</v>
      </c>
      <c r="K113" s="82" t="s">
        <v>14</v>
      </c>
      <c r="L113" s="84"/>
      <c r="M113" s="84"/>
      <c r="N113" s="5"/>
      <c r="O113" s="5"/>
    </row>
    <row r="114" spans="1:21" ht="13.8" thickBot="1" x14ac:dyDescent="0.3">
      <c r="A114" s="713"/>
      <c r="B114" s="82"/>
      <c r="C114" s="119" t="s">
        <v>290</v>
      </c>
      <c r="D114" s="99"/>
      <c r="E114" s="82" t="s">
        <v>21</v>
      </c>
      <c r="F114" s="463">
        <f>IF(S17&gt;0,S17*'Gårdens info'!$G$13/D114,0)</f>
        <v>0</v>
      </c>
      <c r="G114" s="82" t="s">
        <v>153</v>
      </c>
      <c r="H114" s="99"/>
      <c r="I114" s="83" t="s">
        <v>152</v>
      </c>
      <c r="J114" s="85">
        <f t="shared" si="12"/>
        <v>0</v>
      </c>
      <c r="K114" s="82" t="s">
        <v>14</v>
      </c>
      <c r="L114" s="84"/>
      <c r="M114" s="84"/>
      <c r="N114" s="5"/>
      <c r="O114" s="5"/>
    </row>
    <row r="115" spans="1:21" x14ac:dyDescent="0.25">
      <c r="A115" s="713"/>
      <c r="B115" s="245"/>
      <c r="C115" s="245" t="s">
        <v>196</v>
      </c>
      <c r="D115" s="245"/>
      <c r="E115" s="245"/>
      <c r="F115" s="246"/>
      <c r="G115" s="245"/>
      <c r="H115" s="247"/>
      <c r="I115" s="248"/>
      <c r="J115" s="249">
        <f>SUM(J107:J114)</f>
        <v>40</v>
      </c>
      <c r="K115" s="245" t="s">
        <v>14</v>
      </c>
      <c r="L115" s="245"/>
      <c r="M115" s="245"/>
      <c r="N115" s="5"/>
      <c r="O115" s="5"/>
    </row>
    <row r="116" spans="1:21" x14ac:dyDescent="0.25">
      <c r="A116" s="713"/>
      <c r="B116" s="82"/>
      <c r="C116" s="82"/>
      <c r="D116" s="82"/>
      <c r="E116" s="82"/>
      <c r="F116" s="82"/>
      <c r="G116" s="82"/>
      <c r="H116" s="83"/>
      <c r="I116" s="83"/>
      <c r="J116" s="85"/>
      <c r="K116" s="82"/>
      <c r="L116" s="84"/>
      <c r="M116" s="84"/>
      <c r="N116" s="5"/>
      <c r="O116" s="5"/>
    </row>
    <row r="117" spans="1:21" x14ac:dyDescent="0.25">
      <c r="A117" s="713"/>
      <c r="N117" s="5"/>
      <c r="O117" s="5"/>
    </row>
    <row r="118" spans="1:21" s="8" customFormat="1" ht="15.6" x14ac:dyDescent="0.3">
      <c r="A118" s="714"/>
      <c r="B118" s="111" t="s">
        <v>291</v>
      </c>
      <c r="C118" s="87"/>
      <c r="D118" s="87"/>
      <c r="E118" s="87"/>
      <c r="F118" s="966" t="s">
        <v>159</v>
      </c>
      <c r="G118" s="966"/>
      <c r="H118" s="966" t="s">
        <v>158</v>
      </c>
      <c r="I118" s="966"/>
      <c r="J118" s="966" t="s">
        <v>273</v>
      </c>
      <c r="K118" s="966"/>
      <c r="L118" s="89"/>
      <c r="M118" s="89"/>
      <c r="N118" s="5"/>
      <c r="O118" s="5"/>
      <c r="P118"/>
      <c r="Q118"/>
      <c r="R118"/>
      <c r="S118"/>
      <c r="T118"/>
      <c r="U118"/>
    </row>
    <row r="119" spans="1:21" ht="13.8" thickBot="1" x14ac:dyDescent="0.3">
      <c r="A119" s="713"/>
      <c r="B119" s="87"/>
      <c r="C119" s="87"/>
      <c r="D119" s="87"/>
      <c r="E119" s="87"/>
      <c r="F119" s="87"/>
      <c r="G119" s="87"/>
      <c r="H119" s="88"/>
      <c r="I119" s="88"/>
      <c r="J119" s="89"/>
      <c r="K119" s="89"/>
      <c r="L119" s="89"/>
      <c r="M119" s="89"/>
      <c r="N119" s="5"/>
      <c r="O119" s="5"/>
    </row>
    <row r="120" spans="1:21" ht="13.8" thickBot="1" x14ac:dyDescent="0.3">
      <c r="A120" s="713"/>
      <c r="B120" s="87"/>
      <c r="C120" s="87" t="s">
        <v>247</v>
      </c>
      <c r="D120" s="89"/>
      <c r="E120" s="87"/>
      <c r="F120" s="96">
        <f>'Gårdens info'!G10*'Gårdens info'!D10*0.9</f>
        <v>54000</v>
      </c>
      <c r="G120" s="87" t="s">
        <v>21</v>
      </c>
      <c r="H120" s="99">
        <v>0.02</v>
      </c>
      <c r="I120" s="88" t="s">
        <v>6</v>
      </c>
      <c r="J120" s="90">
        <f t="shared" ref="J120:J122" si="14">F120*H120</f>
        <v>1080</v>
      </c>
      <c r="K120" s="87" t="s">
        <v>14</v>
      </c>
      <c r="L120" s="89"/>
      <c r="M120" s="89"/>
      <c r="N120" s="9"/>
      <c r="O120" s="9"/>
      <c r="P120" s="8"/>
      <c r="Q120" s="8"/>
      <c r="R120" s="8"/>
      <c r="S120" s="8"/>
      <c r="T120" s="8"/>
      <c r="U120" s="8"/>
    </row>
    <row r="121" spans="1:21" ht="13.8" thickBot="1" x14ac:dyDescent="0.3">
      <c r="A121" s="713"/>
      <c r="B121" s="87"/>
      <c r="C121" s="87" t="s">
        <v>292</v>
      </c>
      <c r="D121" s="87"/>
      <c r="E121" s="87"/>
      <c r="F121" s="96"/>
      <c r="G121" s="87" t="s">
        <v>21</v>
      </c>
      <c r="H121" s="99"/>
      <c r="I121" s="88" t="s">
        <v>6</v>
      </c>
      <c r="J121" s="90">
        <f t="shared" si="14"/>
        <v>0</v>
      </c>
      <c r="K121" s="87" t="s">
        <v>14</v>
      </c>
      <c r="L121" s="89"/>
      <c r="M121" s="89"/>
      <c r="N121" s="5"/>
      <c r="O121" s="5"/>
    </row>
    <row r="122" spans="1:21" ht="13.8" thickBot="1" x14ac:dyDescent="0.3">
      <c r="A122" s="713"/>
      <c r="B122" s="87"/>
      <c r="C122" s="87" t="s">
        <v>292</v>
      </c>
      <c r="D122" s="87"/>
      <c r="E122" s="87"/>
      <c r="F122" s="96"/>
      <c r="G122" s="87" t="s">
        <v>21</v>
      </c>
      <c r="H122" s="99"/>
      <c r="I122" s="88" t="s">
        <v>6</v>
      </c>
      <c r="J122" s="90">
        <f t="shared" si="14"/>
        <v>0</v>
      </c>
      <c r="K122" s="87" t="s">
        <v>14</v>
      </c>
      <c r="L122" s="89"/>
      <c r="M122" s="89"/>
      <c r="N122" s="5"/>
      <c r="O122" s="5"/>
    </row>
    <row r="123" spans="1:21" x14ac:dyDescent="0.25">
      <c r="A123" s="713"/>
      <c r="B123" s="250"/>
      <c r="C123" s="250" t="s">
        <v>196</v>
      </c>
      <c r="D123" s="250"/>
      <c r="E123" s="250"/>
      <c r="F123" s="251"/>
      <c r="G123" s="250"/>
      <c r="H123" s="252"/>
      <c r="I123" s="253"/>
      <c r="J123" s="254">
        <f>SUM(J120:J122)</f>
        <v>1080</v>
      </c>
      <c r="K123" s="250" t="s">
        <v>14</v>
      </c>
      <c r="L123" s="250"/>
      <c r="M123" s="250"/>
      <c r="N123" s="5"/>
      <c r="O123" s="5"/>
    </row>
    <row r="124" spans="1:21" x14ac:dyDescent="0.25">
      <c r="A124" s="713"/>
      <c r="B124" s="87"/>
      <c r="C124" s="87"/>
      <c r="D124" s="87"/>
      <c r="E124" s="87"/>
      <c r="F124" s="87"/>
      <c r="G124" s="87"/>
      <c r="H124" s="88"/>
      <c r="I124" s="88"/>
      <c r="J124" s="90"/>
      <c r="K124" s="87"/>
      <c r="L124" s="89"/>
      <c r="M124" s="89"/>
      <c r="N124" s="5"/>
    </row>
    <row r="125" spans="1:21" x14ac:dyDescent="0.25">
      <c r="A125" s="713"/>
      <c r="N125" s="5"/>
    </row>
    <row r="126" spans="1:21" ht="15.6" x14ac:dyDescent="0.3">
      <c r="A126" s="713"/>
      <c r="B126" s="219" t="s">
        <v>293</v>
      </c>
      <c r="C126" s="220"/>
      <c r="D126" s="220"/>
      <c r="E126" s="220"/>
      <c r="F126" s="964" t="s">
        <v>159</v>
      </c>
      <c r="G126" s="964"/>
      <c r="H126" s="964" t="s">
        <v>158</v>
      </c>
      <c r="I126" s="964"/>
      <c r="J126" s="964" t="s">
        <v>273</v>
      </c>
      <c r="K126" s="964"/>
      <c r="L126" s="222"/>
      <c r="M126" s="222"/>
      <c r="N126" s="5"/>
    </row>
    <row r="127" spans="1:21" ht="13.8" thickBot="1" x14ac:dyDescent="0.3">
      <c r="A127" s="713"/>
      <c r="B127" s="220"/>
      <c r="C127" s="220"/>
      <c r="D127" s="220"/>
      <c r="E127" s="220"/>
      <c r="F127" s="220"/>
      <c r="G127" s="220"/>
      <c r="H127" s="221"/>
      <c r="I127" s="221"/>
      <c r="J127" s="222"/>
      <c r="K127" s="222"/>
      <c r="L127" s="222"/>
      <c r="M127" s="222"/>
      <c r="N127" s="5"/>
    </row>
    <row r="128" spans="1:21" ht="13.8" thickBot="1" x14ac:dyDescent="0.3">
      <c r="A128" s="713"/>
      <c r="B128" s="220"/>
      <c r="C128" s="220" t="s">
        <v>294</v>
      </c>
      <c r="D128" s="222"/>
      <c r="E128" s="220"/>
      <c r="F128" s="96"/>
      <c r="G128" s="220" t="s">
        <v>0</v>
      </c>
      <c r="H128" s="99"/>
      <c r="I128" s="221" t="s">
        <v>14</v>
      </c>
      <c r="J128" s="223">
        <f t="shared" ref="J128:J130" si="15">F128*H128</f>
        <v>0</v>
      </c>
      <c r="K128" s="220" t="s">
        <v>14</v>
      </c>
      <c r="L128" s="222"/>
      <c r="M128" s="222"/>
      <c r="N128" s="5"/>
    </row>
    <row r="129" spans="1:21" ht="13.8" thickBot="1" x14ac:dyDescent="0.3">
      <c r="B129" s="220"/>
      <c r="C129" s="220" t="s">
        <v>294</v>
      </c>
      <c r="D129" s="220"/>
      <c r="E129" s="220"/>
      <c r="F129" s="96"/>
      <c r="G129" s="220" t="s">
        <v>0</v>
      </c>
      <c r="H129" s="99"/>
      <c r="I129" s="221" t="s">
        <v>14</v>
      </c>
      <c r="J129" s="223">
        <f t="shared" si="15"/>
        <v>0</v>
      </c>
      <c r="K129" s="220" t="s">
        <v>14</v>
      </c>
      <c r="L129" s="222"/>
      <c r="M129" s="222"/>
    </row>
    <row r="130" spans="1:21" ht="13.8" thickBot="1" x14ac:dyDescent="0.3">
      <c r="B130" s="220"/>
      <c r="C130" s="220" t="s">
        <v>294</v>
      </c>
      <c r="D130" s="220"/>
      <c r="E130" s="220"/>
      <c r="F130" s="96"/>
      <c r="G130" s="220" t="s">
        <v>0</v>
      </c>
      <c r="H130" s="99"/>
      <c r="I130" s="221" t="s">
        <v>14</v>
      </c>
      <c r="J130" s="223">
        <f t="shared" si="15"/>
        <v>0</v>
      </c>
      <c r="K130" s="220" t="s">
        <v>14</v>
      </c>
      <c r="L130" s="222"/>
      <c r="M130" s="222"/>
    </row>
    <row r="131" spans="1:21" s="8" customFormat="1" x14ac:dyDescent="0.25">
      <c r="A131" s="708"/>
      <c r="B131" s="255"/>
      <c r="C131" s="255" t="s">
        <v>196</v>
      </c>
      <c r="D131" s="255"/>
      <c r="E131" s="255"/>
      <c r="F131" s="256"/>
      <c r="G131" s="255"/>
      <c r="H131" s="257"/>
      <c r="I131" s="258"/>
      <c r="J131" s="259">
        <f>SUM(J128:J130)</f>
        <v>0</v>
      </c>
      <c r="K131" s="255" t="s">
        <v>14</v>
      </c>
      <c r="L131" s="255"/>
      <c r="M131" s="255"/>
      <c r="N131"/>
      <c r="O131"/>
      <c r="P131"/>
      <c r="Q131"/>
      <c r="R131"/>
      <c r="S131"/>
      <c r="T131"/>
      <c r="U131"/>
    </row>
    <row r="132" spans="1:21" x14ac:dyDescent="0.25">
      <c r="B132" s="220"/>
      <c r="C132" s="220"/>
      <c r="D132" s="220"/>
      <c r="E132" s="220"/>
      <c r="F132" s="220"/>
      <c r="G132" s="220"/>
      <c r="H132" s="221"/>
      <c r="I132" s="221"/>
      <c r="J132" s="223"/>
      <c r="K132" s="220"/>
      <c r="L132" s="222"/>
      <c r="M132" s="222"/>
    </row>
    <row r="133" spans="1:21" ht="30" customHeight="1" x14ac:dyDescent="0.25">
      <c r="N133" s="8"/>
      <c r="O133" s="8"/>
      <c r="P133" s="8"/>
      <c r="Q133" s="8"/>
      <c r="R133" s="8"/>
      <c r="S133" s="8"/>
      <c r="T133" s="8"/>
      <c r="U133" s="8"/>
    </row>
    <row r="134" spans="1:21" ht="15.6" x14ac:dyDescent="0.3">
      <c r="B134" s="225" t="s">
        <v>295</v>
      </c>
      <c r="C134" s="226"/>
      <c r="D134" s="226"/>
      <c r="E134" s="227"/>
      <c r="F134" s="226" t="s">
        <v>159</v>
      </c>
      <c r="G134" s="228"/>
      <c r="H134" s="228" t="s">
        <v>158</v>
      </c>
      <c r="I134" s="226"/>
      <c r="J134" s="226"/>
      <c r="K134" s="229"/>
      <c r="L134" s="229"/>
      <c r="M134" s="229"/>
    </row>
    <row r="135" spans="1:21" ht="16.2" thickBot="1" x14ac:dyDescent="0.35">
      <c r="B135" s="225"/>
      <c r="C135" s="226"/>
      <c r="D135" s="226"/>
      <c r="E135" s="227"/>
      <c r="F135" s="226"/>
      <c r="G135" s="228"/>
      <c r="H135" s="228"/>
      <c r="I135" s="226"/>
      <c r="J135" s="226"/>
      <c r="K135" s="229"/>
      <c r="L135" s="229"/>
      <c r="M135" s="229"/>
    </row>
    <row r="136" spans="1:21" ht="13.8" thickBot="1" x14ac:dyDescent="0.3">
      <c r="B136" s="226"/>
      <c r="C136" s="226" t="s">
        <v>296</v>
      </c>
      <c r="D136" s="229"/>
      <c r="E136" s="230"/>
      <c r="F136" s="96">
        <v>1000</v>
      </c>
      <c r="G136" s="231" t="s">
        <v>18</v>
      </c>
      <c r="H136" s="96">
        <v>0.15</v>
      </c>
      <c r="I136" s="232" t="s">
        <v>10</v>
      </c>
      <c r="J136" s="229">
        <f>H136*F136</f>
        <v>150</v>
      </c>
      <c r="K136" s="232" t="s">
        <v>14</v>
      </c>
      <c r="L136" s="229"/>
      <c r="M136" s="229"/>
    </row>
    <row r="137" spans="1:21" ht="13.8" thickBot="1" x14ac:dyDescent="0.3">
      <c r="B137" s="226"/>
      <c r="C137" s="226" t="s">
        <v>297</v>
      </c>
      <c r="D137" s="232">
        <f>F169/2</f>
        <v>43.5</v>
      </c>
      <c r="E137" s="226" t="s">
        <v>9</v>
      </c>
      <c r="F137" s="96">
        <f>+D137*8</f>
        <v>348</v>
      </c>
      <c r="G137" s="228" t="s">
        <v>20</v>
      </c>
      <c r="H137" s="96">
        <v>0.83</v>
      </c>
      <c r="I137" s="232" t="s">
        <v>5</v>
      </c>
      <c r="J137" s="229">
        <f>H137*F137</f>
        <v>288.83999999999997</v>
      </c>
      <c r="K137" s="232" t="s">
        <v>14</v>
      </c>
      <c r="L137" s="229"/>
      <c r="M137" s="229"/>
    </row>
    <row r="138" spans="1:21" ht="13.8" thickBot="1" x14ac:dyDescent="0.3">
      <c r="B138" s="226"/>
      <c r="C138" s="226" t="s">
        <v>298</v>
      </c>
      <c r="D138" s="232">
        <f>D137</f>
        <v>43.5</v>
      </c>
      <c r="E138" s="226" t="s">
        <v>9</v>
      </c>
      <c r="F138" s="96">
        <v>11.88</v>
      </c>
      <c r="G138" s="228" t="s">
        <v>21</v>
      </c>
      <c r="H138" s="96">
        <v>4</v>
      </c>
      <c r="I138" s="232" t="s">
        <v>6</v>
      </c>
      <c r="J138" s="229">
        <f t="shared" ref="J138:J142" si="16">H138*F138</f>
        <v>47.52</v>
      </c>
      <c r="K138" s="232" t="s">
        <v>14</v>
      </c>
      <c r="L138" s="229"/>
      <c r="M138" s="229"/>
    </row>
    <row r="139" spans="1:21" ht="13.8" thickBot="1" x14ac:dyDescent="0.3">
      <c r="B139" s="226"/>
      <c r="C139" s="226" t="s">
        <v>19</v>
      </c>
      <c r="D139" s="229"/>
      <c r="E139" s="232"/>
      <c r="F139" s="96">
        <v>200</v>
      </c>
      <c r="G139" s="228" t="s">
        <v>20</v>
      </c>
      <c r="H139" s="96">
        <v>1.53</v>
      </c>
      <c r="I139" s="232" t="s">
        <v>5</v>
      </c>
      <c r="J139" s="229">
        <f t="shared" si="16"/>
        <v>306</v>
      </c>
      <c r="K139" s="232" t="s">
        <v>14</v>
      </c>
      <c r="L139" s="229"/>
      <c r="M139" s="229"/>
    </row>
    <row r="140" spans="1:21" ht="13.8" thickBot="1" x14ac:dyDescent="0.3">
      <c r="B140" s="226"/>
      <c r="C140" s="226" t="s">
        <v>299</v>
      </c>
      <c r="D140" s="229"/>
      <c r="E140" s="232"/>
      <c r="F140" s="96"/>
      <c r="G140" s="228" t="s">
        <v>20</v>
      </c>
      <c r="H140" s="96"/>
      <c r="I140" s="232" t="s">
        <v>5</v>
      </c>
      <c r="J140" s="229">
        <f t="shared" si="16"/>
        <v>0</v>
      </c>
      <c r="K140" s="232" t="s">
        <v>14</v>
      </c>
      <c r="L140" s="229"/>
      <c r="M140" s="229"/>
    </row>
    <row r="141" spans="1:21" ht="13.8" thickBot="1" x14ac:dyDescent="0.3">
      <c r="B141" s="226"/>
      <c r="C141" s="226" t="s">
        <v>300</v>
      </c>
      <c r="D141" s="229"/>
      <c r="E141" s="232"/>
      <c r="F141" s="96"/>
      <c r="G141" s="228"/>
      <c r="H141" s="96"/>
      <c r="I141" s="232"/>
      <c r="J141" s="229">
        <f t="shared" si="16"/>
        <v>0</v>
      </c>
      <c r="K141" s="232" t="s">
        <v>14</v>
      </c>
      <c r="L141" s="229"/>
      <c r="M141" s="229"/>
    </row>
    <row r="142" spans="1:21" ht="13.8" thickBot="1" x14ac:dyDescent="0.3">
      <c r="B142" s="229"/>
      <c r="C142" s="226" t="s">
        <v>300</v>
      </c>
      <c r="D142" s="229"/>
      <c r="E142" s="229"/>
      <c r="F142" s="96"/>
      <c r="G142" s="229"/>
      <c r="H142" s="96"/>
      <c r="I142" s="229"/>
      <c r="J142" s="229">
        <f t="shared" si="16"/>
        <v>0</v>
      </c>
      <c r="K142" s="232" t="s">
        <v>14</v>
      </c>
      <c r="L142" s="229"/>
      <c r="M142" s="229"/>
    </row>
    <row r="143" spans="1:21" s="8" customFormat="1" x14ac:dyDescent="0.25">
      <c r="A143" s="708"/>
      <c r="B143" s="260"/>
      <c r="C143" s="260" t="s">
        <v>196</v>
      </c>
      <c r="D143" s="260"/>
      <c r="E143" s="260"/>
      <c r="F143" s="261"/>
      <c r="G143" s="260"/>
      <c r="H143" s="261"/>
      <c r="I143" s="260"/>
      <c r="J143" s="260">
        <f>SUM(J136:J142)</f>
        <v>792.3599999999999</v>
      </c>
      <c r="K143" s="262" t="s">
        <v>14</v>
      </c>
      <c r="L143" s="260"/>
      <c r="M143" s="260"/>
    </row>
    <row r="144" spans="1:21" x14ac:dyDescent="0.25">
      <c r="B144" s="229"/>
      <c r="C144" s="229"/>
      <c r="D144" s="229"/>
      <c r="E144" s="229"/>
      <c r="F144" s="229"/>
      <c r="G144" s="229"/>
      <c r="H144" s="229"/>
      <c r="I144" s="229"/>
      <c r="J144" s="229"/>
      <c r="K144" s="229"/>
      <c r="L144" s="229"/>
      <c r="M144" s="229"/>
    </row>
    <row r="146" spans="1:21" ht="15.6" x14ac:dyDescent="0.3">
      <c r="B146" s="112" t="s">
        <v>301</v>
      </c>
      <c r="C146" s="101"/>
      <c r="D146" s="101"/>
      <c r="E146" s="101"/>
      <c r="F146" s="101"/>
      <c r="G146" s="101"/>
      <c r="H146" s="101"/>
      <c r="I146" s="101"/>
      <c r="J146" s="101"/>
      <c r="K146" s="101"/>
      <c r="L146" s="101"/>
      <c r="M146" s="101"/>
    </row>
    <row r="147" spans="1:21" ht="15.6" x14ac:dyDescent="0.3">
      <c r="B147" s="112"/>
      <c r="C147" s="101"/>
      <c r="D147" s="101"/>
      <c r="E147" s="101"/>
      <c r="F147" s="101"/>
      <c r="G147" s="101"/>
      <c r="H147" s="101"/>
      <c r="I147" s="101"/>
      <c r="J147" s="101"/>
      <c r="K147" s="101"/>
      <c r="L147" s="101"/>
      <c r="M147" s="101"/>
    </row>
    <row r="148" spans="1:21" ht="15" customHeight="1" x14ac:dyDescent="0.25">
      <c r="B148" s="961" t="s">
        <v>302</v>
      </c>
      <c r="C148" s="961"/>
      <c r="D148" s="961"/>
      <c r="E148" s="961"/>
      <c r="F148" s="961"/>
      <c r="G148" s="961"/>
      <c r="H148" s="961"/>
      <c r="I148" s="961"/>
      <c r="J148" s="961"/>
      <c r="K148" s="961"/>
      <c r="L148" s="961"/>
      <c r="M148" s="961"/>
    </row>
    <row r="149" spans="1:21" s="8" customFormat="1" ht="15.6" x14ac:dyDescent="0.3">
      <c r="A149" s="708"/>
      <c r="B149" s="112"/>
      <c r="C149" s="101"/>
      <c r="D149" s="101"/>
      <c r="E149" s="834"/>
      <c r="F149" s="834"/>
      <c r="G149" s="834"/>
      <c r="H149" s="835"/>
      <c r="I149" s="835"/>
      <c r="J149" s="834"/>
      <c r="K149" s="834"/>
      <c r="L149" s="835"/>
      <c r="M149" s="835"/>
      <c r="N149"/>
      <c r="O149"/>
      <c r="P149"/>
      <c r="Q149"/>
      <c r="R149"/>
      <c r="S149"/>
      <c r="T149"/>
      <c r="U149"/>
    </row>
    <row r="150" spans="1:21" ht="15.6" x14ac:dyDescent="0.3">
      <c r="B150" s="112"/>
      <c r="C150" s="101"/>
      <c r="D150" s="101"/>
      <c r="E150" s="962" t="s">
        <v>303</v>
      </c>
      <c r="F150" s="962"/>
      <c r="G150" s="962"/>
      <c r="H150" s="963" t="s">
        <v>158</v>
      </c>
      <c r="I150" s="963"/>
      <c r="J150" s="963" t="s">
        <v>304</v>
      </c>
      <c r="K150" s="963"/>
      <c r="L150" s="963" t="s">
        <v>158</v>
      </c>
      <c r="M150" s="963"/>
    </row>
    <row r="151" spans="1:21" ht="33" customHeight="1" thickBot="1" x14ac:dyDescent="0.3">
      <c r="B151" s="100"/>
      <c r="C151" s="101"/>
      <c r="D151" s="101"/>
      <c r="E151" s="101"/>
      <c r="F151" s="101"/>
      <c r="G151" s="101"/>
      <c r="H151" s="101"/>
      <c r="I151" s="101"/>
      <c r="J151" s="101"/>
      <c r="K151" s="101"/>
      <c r="L151" s="101"/>
      <c r="M151" s="101"/>
      <c r="N151" s="8"/>
      <c r="O151" s="8"/>
      <c r="P151" s="8"/>
      <c r="Q151" s="8"/>
      <c r="R151" s="8"/>
      <c r="S151" s="8"/>
      <c r="T151" s="8"/>
      <c r="U151" s="8"/>
    </row>
    <row r="152" spans="1:21" ht="13.8" thickBot="1" x14ac:dyDescent="0.3">
      <c r="B152" s="101"/>
      <c r="C152" s="102" t="s">
        <v>307</v>
      </c>
      <c r="D152" s="101"/>
      <c r="E152" s="101"/>
      <c r="F152" s="115">
        <v>2</v>
      </c>
      <c r="G152" s="104" t="s">
        <v>22</v>
      </c>
      <c r="H152" s="117">
        <v>14.5</v>
      </c>
      <c r="I152" s="104" t="s">
        <v>11</v>
      </c>
      <c r="J152" s="116"/>
      <c r="K152" s="104" t="s">
        <v>22</v>
      </c>
      <c r="L152" s="117">
        <v>14.5</v>
      </c>
      <c r="M152" s="104" t="s">
        <v>11</v>
      </c>
    </row>
    <row r="153" spans="1:21" ht="13.8" thickBot="1" x14ac:dyDescent="0.3">
      <c r="B153" s="101"/>
      <c r="C153" s="102" t="s">
        <v>309</v>
      </c>
      <c r="D153" s="101"/>
      <c r="E153" s="101"/>
      <c r="F153" s="115">
        <v>4</v>
      </c>
      <c r="G153" s="104" t="s">
        <v>22</v>
      </c>
      <c r="H153" s="114">
        <f>$H$152</f>
        <v>14.5</v>
      </c>
      <c r="I153" s="104" t="s">
        <v>11</v>
      </c>
      <c r="J153" s="116"/>
      <c r="K153" s="104" t="s">
        <v>22</v>
      </c>
      <c r="L153" s="114">
        <f>$L$152</f>
        <v>14.5</v>
      </c>
      <c r="M153" s="104" t="s">
        <v>11</v>
      </c>
    </row>
    <row r="154" spans="1:21" ht="13.8" thickBot="1" x14ac:dyDescent="0.3">
      <c r="B154" s="101"/>
      <c r="C154" s="102" t="s">
        <v>320</v>
      </c>
      <c r="D154" s="101"/>
      <c r="E154" s="101"/>
      <c r="F154" s="115">
        <v>2</v>
      </c>
      <c r="G154" s="104" t="s">
        <v>22</v>
      </c>
      <c r="H154" s="114">
        <f t="shared" ref="H154:H167" si="17">$H$152</f>
        <v>14.5</v>
      </c>
      <c r="I154" s="104" t="s">
        <v>11</v>
      </c>
      <c r="J154" s="116"/>
      <c r="K154" s="104" t="s">
        <v>22</v>
      </c>
      <c r="L154" s="114">
        <f t="shared" ref="L154:L168" si="18">$L$152</f>
        <v>14.5</v>
      </c>
      <c r="M154" s="104" t="s">
        <v>11</v>
      </c>
    </row>
    <row r="155" spans="1:21" ht="13.8" thickBot="1" x14ac:dyDescent="0.3">
      <c r="B155" s="101"/>
      <c r="C155" s="102" t="s">
        <v>311</v>
      </c>
      <c r="D155" s="101"/>
      <c r="E155" s="101"/>
      <c r="F155" s="115">
        <v>5</v>
      </c>
      <c r="G155" s="104" t="s">
        <v>22</v>
      </c>
      <c r="H155" s="114">
        <f t="shared" si="17"/>
        <v>14.5</v>
      </c>
      <c r="I155" s="104" t="s">
        <v>11</v>
      </c>
      <c r="J155" s="116"/>
      <c r="K155" s="104" t="s">
        <v>22</v>
      </c>
      <c r="L155" s="114">
        <f t="shared" si="18"/>
        <v>14.5</v>
      </c>
      <c r="M155" s="104" t="s">
        <v>11</v>
      </c>
    </row>
    <row r="156" spans="1:21" ht="13.8" thickBot="1" x14ac:dyDescent="0.3">
      <c r="B156" s="101"/>
      <c r="C156" s="102" t="s">
        <v>312</v>
      </c>
      <c r="D156" s="101"/>
      <c r="E156" s="101"/>
      <c r="F156" s="115">
        <v>8</v>
      </c>
      <c r="G156" s="104" t="s">
        <v>22</v>
      </c>
      <c r="H156" s="114">
        <f t="shared" si="17"/>
        <v>14.5</v>
      </c>
      <c r="I156" s="104" t="s">
        <v>11</v>
      </c>
      <c r="J156" s="116"/>
      <c r="K156" s="104" t="s">
        <v>22</v>
      </c>
      <c r="L156" s="114">
        <f t="shared" si="18"/>
        <v>14.5</v>
      </c>
      <c r="M156" s="104" t="s">
        <v>11</v>
      </c>
    </row>
    <row r="157" spans="1:21" ht="13.8" thickBot="1" x14ac:dyDescent="0.3">
      <c r="B157" s="101"/>
      <c r="C157" s="102" t="s">
        <v>315</v>
      </c>
      <c r="D157" s="101"/>
      <c r="E157" s="101"/>
      <c r="F157" s="115">
        <v>4</v>
      </c>
      <c r="G157" s="104" t="s">
        <v>22</v>
      </c>
      <c r="H157" s="114">
        <f t="shared" si="17"/>
        <v>14.5</v>
      </c>
      <c r="I157" s="104" t="s">
        <v>11</v>
      </c>
      <c r="J157" s="116"/>
      <c r="K157" s="104" t="s">
        <v>22</v>
      </c>
      <c r="L157" s="114">
        <f t="shared" si="18"/>
        <v>14.5</v>
      </c>
      <c r="M157" s="104" t="s">
        <v>11</v>
      </c>
    </row>
    <row r="158" spans="1:21" s="8" customFormat="1" ht="13.8" thickBot="1" x14ac:dyDescent="0.3">
      <c r="A158" s="708"/>
      <c r="B158" s="101"/>
      <c r="C158" s="102" t="s">
        <v>313</v>
      </c>
      <c r="D158" s="101"/>
      <c r="E158" s="101"/>
      <c r="F158" s="115">
        <v>10</v>
      </c>
      <c r="G158" s="104" t="s">
        <v>22</v>
      </c>
      <c r="H158" s="114">
        <f t="shared" si="17"/>
        <v>14.5</v>
      </c>
      <c r="I158" s="104" t="s">
        <v>11</v>
      </c>
      <c r="J158" s="116"/>
      <c r="K158" s="104" t="s">
        <v>22</v>
      </c>
      <c r="L158" s="114">
        <f t="shared" si="18"/>
        <v>14.5</v>
      </c>
      <c r="M158" s="104" t="s">
        <v>11</v>
      </c>
      <c r="N158"/>
      <c r="O158"/>
      <c r="P158"/>
      <c r="Q158"/>
      <c r="R158"/>
      <c r="S158"/>
      <c r="T158"/>
      <c r="U158"/>
    </row>
    <row r="159" spans="1:21" ht="13.8" thickBot="1" x14ac:dyDescent="0.3">
      <c r="B159" s="101"/>
      <c r="C159" s="102" t="s">
        <v>314</v>
      </c>
      <c r="D159" s="101"/>
      <c r="E159" s="101"/>
      <c r="F159" s="115">
        <v>4</v>
      </c>
      <c r="G159" s="104" t="s">
        <v>22</v>
      </c>
      <c r="H159" s="114">
        <f t="shared" si="17"/>
        <v>14.5</v>
      </c>
      <c r="I159" s="104" t="s">
        <v>11</v>
      </c>
      <c r="J159" s="116"/>
      <c r="K159" s="104" t="s">
        <v>22</v>
      </c>
      <c r="L159" s="114">
        <f t="shared" si="18"/>
        <v>14.5</v>
      </c>
      <c r="M159" s="104" t="s">
        <v>11</v>
      </c>
    </row>
    <row r="160" spans="1:21" ht="13.8" thickBot="1" x14ac:dyDescent="0.3">
      <c r="B160" s="101"/>
      <c r="C160" s="102" t="s">
        <v>316</v>
      </c>
      <c r="D160" s="101"/>
      <c r="E160" s="101"/>
      <c r="F160" s="115">
        <v>4</v>
      </c>
      <c r="G160" s="104" t="s">
        <v>22</v>
      </c>
      <c r="H160" s="114">
        <f t="shared" si="17"/>
        <v>14.5</v>
      </c>
      <c r="I160" s="104" t="s">
        <v>11</v>
      </c>
      <c r="J160" s="116"/>
      <c r="K160" s="104" t="s">
        <v>22</v>
      </c>
      <c r="L160" s="114">
        <f t="shared" si="18"/>
        <v>14.5</v>
      </c>
      <c r="M160" s="104" t="s">
        <v>11</v>
      </c>
      <c r="N160" s="8"/>
      <c r="O160" s="8"/>
      <c r="P160" s="8"/>
      <c r="Q160" s="8"/>
      <c r="R160" s="8"/>
      <c r="S160" s="8"/>
      <c r="T160" s="8"/>
      <c r="U160" s="8"/>
    </row>
    <row r="161" spans="2:21" ht="13.8" thickBot="1" x14ac:dyDescent="0.3">
      <c r="B161" s="101"/>
      <c r="C161" s="102" t="s">
        <v>317</v>
      </c>
      <c r="D161" s="101"/>
      <c r="E161" s="101"/>
      <c r="F161" s="115">
        <v>4</v>
      </c>
      <c r="G161" s="104" t="s">
        <v>22</v>
      </c>
      <c r="H161" s="114">
        <f t="shared" si="17"/>
        <v>14.5</v>
      </c>
      <c r="I161" s="104" t="s">
        <v>11</v>
      </c>
      <c r="J161" s="116"/>
      <c r="K161" s="104" t="s">
        <v>22</v>
      </c>
      <c r="L161" s="114">
        <f t="shared" si="18"/>
        <v>14.5</v>
      </c>
      <c r="M161" s="104" t="s">
        <v>11</v>
      </c>
    </row>
    <row r="162" spans="2:21" ht="13.8" thickBot="1" x14ac:dyDescent="0.3">
      <c r="B162" s="101"/>
      <c r="C162" s="102" t="s">
        <v>132</v>
      </c>
      <c r="D162" s="101"/>
      <c r="E162" s="101"/>
      <c r="F162" s="115">
        <v>20</v>
      </c>
      <c r="G162" s="104" t="s">
        <v>22</v>
      </c>
      <c r="H162" s="114">
        <f t="shared" si="17"/>
        <v>14.5</v>
      </c>
      <c r="I162" s="104" t="s">
        <v>11</v>
      </c>
      <c r="J162" s="116">
        <v>20</v>
      </c>
      <c r="K162" s="104" t="s">
        <v>22</v>
      </c>
      <c r="L162" s="114">
        <f t="shared" si="18"/>
        <v>14.5</v>
      </c>
      <c r="M162" s="104" t="s">
        <v>11</v>
      </c>
    </row>
    <row r="163" spans="2:21" ht="13.8" thickBot="1" x14ac:dyDescent="0.3">
      <c r="B163" s="101"/>
      <c r="C163" s="102" t="s">
        <v>318</v>
      </c>
      <c r="D163" s="101"/>
      <c r="E163" s="101"/>
      <c r="F163" s="115">
        <v>10</v>
      </c>
      <c r="G163" s="104" t="s">
        <v>22</v>
      </c>
      <c r="H163" s="114">
        <f t="shared" si="17"/>
        <v>14.5</v>
      </c>
      <c r="I163" s="104" t="s">
        <v>11</v>
      </c>
      <c r="J163" s="116"/>
      <c r="K163" s="104" t="s">
        <v>22</v>
      </c>
      <c r="L163" s="114">
        <f t="shared" si="18"/>
        <v>14.5</v>
      </c>
      <c r="M163" s="104" t="s">
        <v>11</v>
      </c>
    </row>
    <row r="164" spans="2:21" ht="13.8" thickBot="1" x14ac:dyDescent="0.3">
      <c r="B164" s="101"/>
      <c r="C164" s="102" t="s">
        <v>319</v>
      </c>
      <c r="D164" s="101"/>
      <c r="E164" s="101"/>
      <c r="F164" s="116"/>
      <c r="G164" s="104" t="s">
        <v>22</v>
      </c>
      <c r="H164" s="114">
        <f t="shared" si="17"/>
        <v>14.5</v>
      </c>
      <c r="I164" s="104" t="s">
        <v>11</v>
      </c>
      <c r="J164" s="116"/>
      <c r="K164" s="104" t="s">
        <v>22</v>
      </c>
      <c r="L164" s="114">
        <f t="shared" si="18"/>
        <v>14.5</v>
      </c>
      <c r="M164" s="104" t="s">
        <v>11</v>
      </c>
    </row>
    <row r="165" spans="2:21" ht="13.8" thickBot="1" x14ac:dyDescent="0.3">
      <c r="B165" s="101"/>
      <c r="C165" s="102" t="s">
        <v>306</v>
      </c>
      <c r="D165" s="101"/>
      <c r="E165" s="101"/>
      <c r="F165" s="116">
        <v>10</v>
      </c>
      <c r="G165" s="104" t="s">
        <v>22</v>
      </c>
      <c r="H165" s="114">
        <f t="shared" si="17"/>
        <v>14.5</v>
      </c>
      <c r="I165" s="104" t="s">
        <v>11</v>
      </c>
      <c r="J165" s="116"/>
      <c r="K165" s="104" t="s">
        <v>22</v>
      </c>
      <c r="L165" s="114">
        <f t="shared" si="18"/>
        <v>14.5</v>
      </c>
      <c r="M165" s="104" t="s">
        <v>11</v>
      </c>
    </row>
    <row r="166" spans="2:21" ht="13.8" thickBot="1" x14ac:dyDescent="0.3">
      <c r="B166" s="101"/>
      <c r="C166" s="102" t="s">
        <v>305</v>
      </c>
      <c r="D166" s="101"/>
      <c r="E166" s="101"/>
      <c r="F166" s="116"/>
      <c r="G166" s="104" t="s">
        <v>22</v>
      </c>
      <c r="H166" s="114">
        <f t="shared" si="17"/>
        <v>14.5</v>
      </c>
      <c r="I166" s="104" t="s">
        <v>11</v>
      </c>
      <c r="J166" s="97"/>
      <c r="K166" s="104" t="s">
        <v>22</v>
      </c>
      <c r="L166" s="114">
        <f t="shared" si="18"/>
        <v>14.5</v>
      </c>
      <c r="M166" s="104" t="s">
        <v>11</v>
      </c>
    </row>
    <row r="167" spans="2:21" ht="13.8" thickBot="1" x14ac:dyDescent="0.3">
      <c r="B167" s="101"/>
      <c r="C167" s="102" t="s">
        <v>305</v>
      </c>
      <c r="D167" s="101"/>
      <c r="E167" s="101"/>
      <c r="F167" s="116"/>
      <c r="G167" s="104" t="s">
        <v>22</v>
      </c>
      <c r="H167" s="114">
        <f t="shared" si="17"/>
        <v>14.5</v>
      </c>
      <c r="I167" s="104" t="s">
        <v>11</v>
      </c>
      <c r="J167" s="97"/>
      <c r="K167" s="104" t="s">
        <v>22</v>
      </c>
      <c r="L167" s="114">
        <f t="shared" si="18"/>
        <v>14.5</v>
      </c>
      <c r="M167" s="104" t="s">
        <v>11</v>
      </c>
    </row>
    <row r="168" spans="2:21" ht="13.8" thickBot="1" x14ac:dyDescent="0.3">
      <c r="B168" s="101"/>
      <c r="C168" s="102" t="s">
        <v>305</v>
      </c>
      <c r="D168" s="103"/>
      <c r="E168" s="103"/>
      <c r="F168" s="97"/>
      <c r="G168" s="104" t="s">
        <v>22</v>
      </c>
      <c r="H168" s="114">
        <f>$H$152</f>
        <v>14.5</v>
      </c>
      <c r="I168" s="104" t="s">
        <v>11</v>
      </c>
      <c r="J168" s="97"/>
      <c r="K168" s="104" t="s">
        <v>22</v>
      </c>
      <c r="L168" s="114">
        <f t="shared" si="18"/>
        <v>14.5</v>
      </c>
      <c r="M168" s="104" t="s">
        <v>11</v>
      </c>
    </row>
    <row r="169" spans="2:21" x14ac:dyDescent="0.25">
      <c r="B169" s="264"/>
      <c r="C169" s="265" t="s">
        <v>196</v>
      </c>
      <c r="D169" s="266"/>
      <c r="E169" s="266"/>
      <c r="F169" s="267">
        <f>SUM(F152:F168)</f>
        <v>87</v>
      </c>
      <c r="G169" s="264" t="s">
        <v>22</v>
      </c>
      <c r="H169" s="268">
        <f>F169*H152</f>
        <v>1261.5</v>
      </c>
      <c r="I169" s="264" t="s">
        <v>14</v>
      </c>
      <c r="J169" s="269">
        <f>SUM(J152:J168)</f>
        <v>20</v>
      </c>
      <c r="K169" s="264" t="s">
        <v>22</v>
      </c>
      <c r="L169" s="268">
        <f>J169*L152</f>
        <v>290</v>
      </c>
      <c r="M169" s="264" t="s">
        <v>14</v>
      </c>
    </row>
    <row r="171" spans="2:21" ht="40.049999999999997" customHeight="1" x14ac:dyDescent="0.25">
      <c r="C171" s="851"/>
      <c r="N171" s="8"/>
      <c r="O171" s="8"/>
      <c r="P171" s="8"/>
      <c r="Q171" s="8"/>
      <c r="R171" s="8"/>
      <c r="S171" s="8"/>
      <c r="T171" s="8"/>
      <c r="U171" s="8"/>
    </row>
    <row r="172" spans="2:21" x14ac:dyDescent="0.25">
      <c r="C172" s="851"/>
    </row>
    <row r="173" spans="2:21" x14ac:dyDescent="0.25">
      <c r="C173" s="851"/>
    </row>
    <row r="174" spans="2:21" ht="37.950000000000003" customHeight="1" x14ac:dyDescent="0.25">
      <c r="C174" s="851"/>
    </row>
    <row r="186" spans="1:21" s="8" customFormat="1" x14ac:dyDescent="0.25">
      <c r="A186" s="708"/>
      <c r="B186"/>
      <c r="D186"/>
      <c r="E186"/>
      <c r="F186"/>
      <c r="G186"/>
      <c r="H186"/>
      <c r="I186"/>
      <c r="J186"/>
      <c r="K186"/>
      <c r="L186"/>
      <c r="M186"/>
      <c r="N186"/>
      <c r="O186"/>
      <c r="P186"/>
      <c r="Q186"/>
      <c r="R186"/>
      <c r="S186"/>
      <c r="T186"/>
      <c r="U186"/>
    </row>
    <row r="188" spans="1:21" x14ac:dyDescent="0.25">
      <c r="N188" s="8"/>
      <c r="O188" s="8"/>
      <c r="P188" s="8"/>
      <c r="Q188" s="8"/>
      <c r="R188" s="8"/>
      <c r="S188" s="8"/>
      <c r="T188" s="8"/>
      <c r="U188" s="8"/>
    </row>
  </sheetData>
  <mergeCells count="45">
    <mergeCell ref="B38:D38"/>
    <mergeCell ref="B4:L4"/>
    <mergeCell ref="O9:Q9"/>
    <mergeCell ref="T9:U9"/>
    <mergeCell ref="B11:D11"/>
    <mergeCell ref="O18:Q18"/>
    <mergeCell ref="B26:E26"/>
    <mergeCell ref="B27:E27"/>
    <mergeCell ref="B28:D28"/>
    <mergeCell ref="B31:C31"/>
    <mergeCell ref="C34:D34"/>
    <mergeCell ref="B57:D57"/>
    <mergeCell ref="B62:D62"/>
    <mergeCell ref="B64:D64"/>
    <mergeCell ref="B66:D66"/>
    <mergeCell ref="B69:E69"/>
    <mergeCell ref="C41:D41"/>
    <mergeCell ref="B45:D45"/>
    <mergeCell ref="C48:D48"/>
    <mergeCell ref="B52:C52"/>
    <mergeCell ref="C55:D55"/>
    <mergeCell ref="L69:M69"/>
    <mergeCell ref="F76:G76"/>
    <mergeCell ref="H76:I76"/>
    <mergeCell ref="J76:K76"/>
    <mergeCell ref="F85:G85"/>
    <mergeCell ref="H85:I85"/>
    <mergeCell ref="J85:K85"/>
    <mergeCell ref="F71:G71"/>
    <mergeCell ref="H71:I71"/>
    <mergeCell ref="J71:K71"/>
    <mergeCell ref="F105:G105"/>
    <mergeCell ref="H105:I105"/>
    <mergeCell ref="J105:K105"/>
    <mergeCell ref="F118:G118"/>
    <mergeCell ref="H118:I118"/>
    <mergeCell ref="J118:K118"/>
    <mergeCell ref="F126:G126"/>
    <mergeCell ref="H126:I126"/>
    <mergeCell ref="J126:K126"/>
    <mergeCell ref="B148:M148"/>
    <mergeCell ref="E150:G150"/>
    <mergeCell ref="H150:I150"/>
    <mergeCell ref="J150:K150"/>
    <mergeCell ref="L150:M150"/>
  </mergeCells>
  <hyperlinks>
    <hyperlink ref="L69" location="'Avomaan mansikka'!B2" display="PALAA SIVUN YLÄLAITAAN" xr:uid="{44394968-99ED-3A4A-94FA-75DC5605164A}"/>
    <hyperlink ref="L69:M69" location="Trädgårdsärt!A1" display="TILL SIDANS BÖRJAN" xr:uid="{66F084A2-31CF-EF4B-8C72-A38E3DC926B7}"/>
    <hyperlink ref="B31:C31" location="Ägendom!B13" display="BYGGNADER" xr:uid="{E2F17E1B-8DB2-4A99-ABAF-B8B0017DAC76}"/>
    <hyperlink ref="B38:D38" location="Ägendom!B27" display="MASKINER OCH UTRUSTNING" xr:uid="{53C3D668-3DEA-4C82-907F-1940513DBAA5}"/>
    <hyperlink ref="B45:D45" location="Ägendom!B56" display="LÅNGVARIGA PRODUKTIONSMEDEL" xr:uid="{1960CF66-2EB9-4187-8E12-EF0424215E47}"/>
    <hyperlink ref="B52:C52" location="Ägendom!B79" display="TÄCKDIKEN" xr:uid="{088E2F70-3D0C-4DDD-8FC0-EDB37A31A1F2}"/>
    <hyperlink ref="B2" location="'Gårdens info'!A1" display="ÅTERGÅ TILL FRAMSIDAN" xr:uid="{9F869C52-4D7B-4CDA-BBB2-85771E76BC0F}"/>
    <hyperlink ref="B26:E26" location="'Gårdens info'!A131" display="ALLMÄNNA KOSTNADER, ärtens andel" xr:uid="{47AD30DE-E85D-43CE-8E27-E2BA1922A387}"/>
  </hyperlinks>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9D16E-4A5A-7C48-8EBF-70D5F6CEFD05}">
  <sheetPr>
    <tabColor theme="6" tint="0.79998168889431442"/>
  </sheetPr>
  <dimension ref="A1:AC192"/>
  <sheetViews>
    <sheetView topLeftCell="A163" workbookViewId="0">
      <selection activeCell="G70" sqref="G70"/>
    </sheetView>
  </sheetViews>
  <sheetFormatPr defaultColWidth="11.44140625" defaultRowHeight="13.2" x14ac:dyDescent="0.25"/>
  <cols>
    <col min="1" max="1" width="5.33203125" style="776" customWidth="1"/>
    <col min="3" max="3" width="16.77734375" customWidth="1"/>
    <col min="4" max="4" width="22.6640625" customWidth="1"/>
    <col min="5" max="5" width="12.109375" bestFit="1" customWidth="1"/>
    <col min="6" max="6" width="20.6640625" bestFit="1" customWidth="1"/>
    <col min="7" max="7" width="6.33203125" customWidth="1"/>
    <col min="9" max="9" width="6" customWidth="1"/>
    <col min="10" max="10" width="15.109375" customWidth="1"/>
    <col min="11" max="11" width="9.6640625" customWidth="1"/>
    <col min="12" max="12" width="20" customWidth="1"/>
    <col min="13" max="13" width="12.109375" customWidth="1"/>
    <col min="14" max="14" width="9.44140625" customWidth="1"/>
    <col min="15" max="15" width="7.6640625" customWidth="1"/>
    <col min="16" max="16" width="4.44140625" customWidth="1"/>
    <col min="17" max="17" width="15" customWidth="1"/>
    <col min="18" max="18" width="5.109375" customWidth="1"/>
    <col min="19" max="19" width="18.33203125" bestFit="1" customWidth="1"/>
  </cols>
  <sheetData>
    <row r="1" spans="1:21" s="776" customFormat="1" ht="22.8" x14ac:dyDescent="0.4">
      <c r="B1" s="784" t="s">
        <v>112</v>
      </c>
    </row>
    <row r="2" spans="1:21" ht="27" customHeight="1" x14ac:dyDescent="0.3">
      <c r="B2" s="852" t="s">
        <v>337</v>
      </c>
      <c r="C2" s="839"/>
      <c r="F2" s="91"/>
      <c r="G2" s="91"/>
      <c r="H2" s="91"/>
    </row>
    <row r="3" spans="1:21" ht="27" customHeight="1" x14ac:dyDescent="0.3">
      <c r="B3" s="759"/>
      <c r="C3" s="759"/>
    </row>
    <row r="4" spans="1:21" ht="40.049999999999997" customHeight="1" x14ac:dyDescent="0.3">
      <c r="B4" s="942" t="s">
        <v>236</v>
      </c>
      <c r="C4" s="942"/>
      <c r="D4" s="942"/>
      <c r="E4" s="942"/>
      <c r="F4" s="942"/>
      <c r="G4" s="942"/>
      <c r="H4" s="942"/>
      <c r="I4" s="942"/>
      <c r="J4" s="942"/>
      <c r="K4" s="942"/>
      <c r="L4" s="942"/>
    </row>
    <row r="5" spans="1:21" ht="27" customHeight="1" thickBot="1" x14ac:dyDescent="0.35">
      <c r="B5" s="759"/>
      <c r="C5" s="759"/>
    </row>
    <row r="6" spans="1:21" ht="27" customHeight="1" x14ac:dyDescent="0.4">
      <c r="B6" s="318" t="s">
        <v>255</v>
      </c>
      <c r="C6" s="282"/>
      <c r="D6" s="283"/>
      <c r="E6" s="283"/>
      <c r="F6" s="283"/>
      <c r="G6" s="283"/>
      <c r="H6" s="283"/>
      <c r="I6" s="283"/>
      <c r="J6" s="283"/>
      <c r="K6" s="283"/>
      <c r="L6" s="283"/>
      <c r="M6" s="284"/>
      <c r="N6" s="441"/>
      <c r="O6" s="283"/>
      <c r="P6" s="283"/>
      <c r="Q6" s="283"/>
      <c r="R6" s="283"/>
      <c r="S6" s="283"/>
      <c r="T6" s="283"/>
      <c r="U6" s="284"/>
    </row>
    <row r="7" spans="1:21" ht="27" customHeight="1" x14ac:dyDescent="0.4">
      <c r="B7" s="285"/>
      <c r="C7" s="286"/>
      <c r="D7" s="148"/>
      <c r="E7" s="148"/>
      <c r="F7" s="148"/>
      <c r="G7" s="148"/>
      <c r="H7" s="148"/>
      <c r="I7" s="148"/>
      <c r="J7" s="148"/>
      <c r="K7" s="148"/>
      <c r="L7" s="148"/>
      <c r="M7" s="287"/>
      <c r="N7" s="442"/>
      <c r="O7" s="148"/>
      <c r="P7" s="148"/>
      <c r="Q7" s="148"/>
      <c r="R7" s="148"/>
      <c r="S7" s="148"/>
      <c r="T7" s="148"/>
      <c r="U7" s="287"/>
    </row>
    <row r="8" spans="1:21" ht="21" x14ac:dyDescent="0.4">
      <c r="B8" s="319" t="s">
        <v>238</v>
      </c>
      <c r="C8" s="286"/>
      <c r="D8" s="148"/>
      <c r="E8" s="151"/>
      <c r="F8" s="151"/>
      <c r="G8" s="151"/>
      <c r="H8" s="151"/>
      <c r="I8" s="148"/>
      <c r="J8" s="148"/>
      <c r="K8" s="148"/>
      <c r="L8" s="148"/>
      <c r="M8" s="287"/>
      <c r="N8" s="319" t="s">
        <v>239</v>
      </c>
      <c r="O8" s="148"/>
      <c r="P8" s="148"/>
      <c r="Q8" s="148"/>
      <c r="R8" s="148"/>
      <c r="S8" s="148"/>
      <c r="T8" s="148"/>
      <c r="U8" s="300"/>
    </row>
    <row r="9" spans="1:21" ht="21" customHeight="1" thickBot="1" x14ac:dyDescent="0.35">
      <c r="B9" s="288"/>
      <c r="C9" s="289" t="s">
        <v>239</v>
      </c>
      <c r="D9" s="151"/>
      <c r="E9" s="151"/>
      <c r="F9" s="290">
        <f>IF('Gårdens info'!D14&gt;0,H9*'Gårdens info'!G14,0)</f>
        <v>0</v>
      </c>
      <c r="G9" s="151" t="s">
        <v>14</v>
      </c>
      <c r="H9" s="619">
        <f>IF('Gårdens info'!G14&gt;0,(('Gårdens info'!D14*'Gårdens info'!G14*S10*T10)+('Gårdens info'!D14*'Gårdens info'!G14*S11*T11)+('Gårdens info'!D14*'Gårdens info'!G14*S12*T12)+('Gårdens info'!D14*'Gårdens info'!G14*S13*T13)+('Gårdens info'!D14*'Gårdens info'!G14*S14*T14)+('Gårdens info'!D14*'Gårdens info'!G14*S15*T15)+('Gårdens info'!D14*'Gårdens info'!G14*S16*T16)+('Gårdens info'!D14*'Gårdens info'!G14*S17*T17))/(('Gårdens info'!D14*'Gårdens info'!G14)),0)</f>
        <v>0</v>
      </c>
      <c r="I9" s="151" t="s">
        <v>6</v>
      </c>
      <c r="J9" s="290">
        <f>F9*'Gårdens info'!D10</f>
        <v>0</v>
      </c>
      <c r="K9" s="151" t="s">
        <v>365</v>
      </c>
      <c r="L9" s="151"/>
      <c r="M9" s="287"/>
      <c r="N9" s="442"/>
      <c r="O9" s="943" t="s">
        <v>360</v>
      </c>
      <c r="P9" s="943"/>
      <c r="Q9" s="943"/>
      <c r="R9" s="760"/>
      <c r="S9" s="444" t="s">
        <v>339</v>
      </c>
      <c r="T9" s="967" t="s">
        <v>340</v>
      </c>
      <c r="U9" s="968"/>
    </row>
    <row r="10" spans="1:21" ht="15.6" thickBot="1" x14ac:dyDescent="0.3">
      <c r="B10" s="288"/>
      <c r="C10" s="151" t="s">
        <v>224</v>
      </c>
      <c r="D10" s="151"/>
      <c r="E10" s="151"/>
      <c r="F10" s="290">
        <f>IF('Gårdens info'!D14&gt;0,Stöd!J6/'Gårdens info'!D37*Stöd!L6+Stöd!J7/'Gårdens info'!D37*Stöd!L7+Stöd!J8/'Gårdens info'!D37*Stöd!L8+Stöd!J12/'Gårdens info'!D37*Stöd!L12+Stöd!J16/'Gårdens info'!D37*Stöd!L16+Stöd!J18/'Gårdens info'!D37*Stöd!L18+Stöd!J19/'Gårdens info'!D37*Stöd!L19+Stöd!J20/'Gårdens info'!D37*Stöd!L20+Stöd!J21/'Gårdens info'!D37*Stöd!L21,0)</f>
        <v>0</v>
      </c>
      <c r="G10" s="151" t="s">
        <v>14</v>
      </c>
      <c r="H10" s="619">
        <f>IF('Gårdens info'!G14&gt;0,F10/'Gårdens info'!G14,0)</f>
        <v>0</v>
      </c>
      <c r="I10" s="151" t="s">
        <v>6</v>
      </c>
      <c r="J10" s="290">
        <f>F10*'Gårdens info'!D10</f>
        <v>0</v>
      </c>
      <c r="K10" s="151" t="s">
        <v>365</v>
      </c>
      <c r="L10" s="151"/>
      <c r="M10" s="287"/>
      <c r="N10" s="442"/>
      <c r="O10" s="151">
        <v>1</v>
      </c>
      <c r="P10" s="151" t="s">
        <v>21</v>
      </c>
      <c r="Q10" s="151" t="s">
        <v>333</v>
      </c>
      <c r="R10" s="151"/>
      <c r="S10" s="452">
        <v>0.4</v>
      </c>
      <c r="T10" s="317">
        <v>0.9</v>
      </c>
      <c r="U10" s="300" t="s">
        <v>6</v>
      </c>
    </row>
    <row r="11" spans="1:21" s="8" customFormat="1" ht="21.6" customHeight="1" thickBot="1" x14ac:dyDescent="0.45">
      <c r="A11" s="777"/>
      <c r="B11" s="932" t="s">
        <v>240</v>
      </c>
      <c r="C11" s="933"/>
      <c r="D11" s="933"/>
      <c r="E11" s="324"/>
      <c r="F11" s="328">
        <f>F9+F10</f>
        <v>0</v>
      </c>
      <c r="G11" s="329" t="s">
        <v>14</v>
      </c>
      <c r="H11" s="618">
        <f>H9+H10</f>
        <v>0</v>
      </c>
      <c r="I11" s="329" t="s">
        <v>6</v>
      </c>
      <c r="J11" s="331">
        <f>J9+J10</f>
        <v>0</v>
      </c>
      <c r="K11" s="329" t="s">
        <v>365</v>
      </c>
      <c r="L11" s="329"/>
      <c r="M11" s="321"/>
      <c r="N11" s="445"/>
      <c r="O11" s="151">
        <v>0.25</v>
      </c>
      <c r="P11" s="151" t="s">
        <v>21</v>
      </c>
      <c r="Q11" s="151" t="s">
        <v>334</v>
      </c>
      <c r="R11" s="151"/>
      <c r="S11" s="454">
        <v>0</v>
      </c>
      <c r="T11" s="317"/>
      <c r="U11" s="300" t="s">
        <v>6</v>
      </c>
    </row>
    <row r="12" spans="1:21" s="8" customFormat="1" ht="21.6" thickBot="1" x14ac:dyDescent="0.45">
      <c r="A12" s="777"/>
      <c r="B12" s="832"/>
      <c r="C12" s="833"/>
      <c r="D12" s="833"/>
      <c r="E12" s="324"/>
      <c r="F12" s="328"/>
      <c r="G12" s="329"/>
      <c r="H12" s="330"/>
      <c r="I12" s="329"/>
      <c r="J12" s="331"/>
      <c r="K12" s="329"/>
      <c r="L12" s="329"/>
      <c r="M12" s="321"/>
      <c r="N12" s="445"/>
      <c r="O12" s="151">
        <v>0.5</v>
      </c>
      <c r="P12" s="151" t="s">
        <v>21</v>
      </c>
      <c r="Q12" s="151" t="s">
        <v>333</v>
      </c>
      <c r="R12" s="151"/>
      <c r="S12" s="454">
        <v>0.4</v>
      </c>
      <c r="T12" s="317">
        <v>0.92</v>
      </c>
      <c r="U12" s="300" t="s">
        <v>6</v>
      </c>
    </row>
    <row r="13" spans="1:21" ht="22.05" customHeight="1" thickBot="1" x14ac:dyDescent="0.35">
      <c r="B13" s="292"/>
      <c r="C13" s="286"/>
      <c r="D13" s="148"/>
      <c r="E13" s="148"/>
      <c r="F13" s="148"/>
      <c r="G13" s="148"/>
      <c r="H13" s="148"/>
      <c r="I13" s="148"/>
      <c r="J13" s="293"/>
      <c r="K13" s="148"/>
      <c r="L13" s="148"/>
      <c r="M13" s="287"/>
      <c r="N13" s="442"/>
      <c r="O13" s="151">
        <v>10</v>
      </c>
      <c r="P13" s="151" t="s">
        <v>21</v>
      </c>
      <c r="Q13" s="151" t="s">
        <v>335</v>
      </c>
      <c r="R13" s="151"/>
      <c r="S13" s="454">
        <v>0.2</v>
      </c>
      <c r="T13" s="317">
        <v>0.88</v>
      </c>
      <c r="U13" s="300" t="s">
        <v>6</v>
      </c>
    </row>
    <row r="14" spans="1:21" ht="21.6" thickBot="1" x14ac:dyDescent="0.45">
      <c r="B14" s="319" t="s">
        <v>241</v>
      </c>
      <c r="C14" s="286"/>
      <c r="D14" s="148"/>
      <c r="E14" s="148"/>
      <c r="F14" s="148"/>
      <c r="G14" s="148"/>
      <c r="H14" s="148"/>
      <c r="I14" s="148"/>
      <c r="J14" s="293"/>
      <c r="K14" s="148"/>
      <c r="L14" s="148"/>
      <c r="M14" s="287"/>
      <c r="N14" s="442"/>
      <c r="O14" s="812">
        <f>D114</f>
        <v>0</v>
      </c>
      <c r="P14" s="151" t="s">
        <v>21</v>
      </c>
      <c r="Q14" s="362" t="str">
        <f>C114</f>
        <v>förpackning X</v>
      </c>
      <c r="R14" s="151"/>
      <c r="S14" s="454">
        <v>0</v>
      </c>
      <c r="T14" s="317"/>
      <c r="U14" s="300" t="s">
        <v>6</v>
      </c>
    </row>
    <row r="15" spans="1:21" s="77" customFormat="1" ht="16.95" customHeight="1" thickBot="1" x14ac:dyDescent="0.35">
      <c r="A15" s="778"/>
      <c r="B15" s="602"/>
      <c r="C15" s="306"/>
      <c r="D15" s="310"/>
      <c r="E15" s="310"/>
      <c r="F15" s="311"/>
      <c r="G15" s="153"/>
      <c r="H15" s="310"/>
      <c r="I15" s="310"/>
      <c r="J15" s="310"/>
      <c r="K15" s="310"/>
      <c r="L15" s="310"/>
      <c r="M15" s="295"/>
      <c r="N15" s="442"/>
      <c r="O15" s="812">
        <f t="shared" ref="O15:O17" si="0">D115</f>
        <v>0</v>
      </c>
      <c r="P15" s="151" t="s">
        <v>21</v>
      </c>
      <c r="Q15" s="362" t="str">
        <f t="shared" ref="Q15:Q17" si="1">C115</f>
        <v>förpackning X</v>
      </c>
      <c r="R15" s="151"/>
      <c r="S15" s="454">
        <v>0</v>
      </c>
      <c r="T15" s="317"/>
      <c r="U15" s="300" t="s">
        <v>6</v>
      </c>
    </row>
    <row r="16" spans="1:21" s="91" customFormat="1" ht="16.95" customHeight="1" thickBot="1" x14ac:dyDescent="0.3">
      <c r="A16" s="778"/>
      <c r="B16" s="602"/>
      <c r="C16" s="289" t="s">
        <v>243</v>
      </c>
      <c r="D16" s="297"/>
      <c r="E16" s="297"/>
      <c r="F16" s="308">
        <f>IF('Gårdens info'!D14&gt;0,J73,0)</f>
        <v>0</v>
      </c>
      <c r="G16" s="151" t="s">
        <v>14</v>
      </c>
      <c r="H16" s="614">
        <f>IF('Gårdens info'!$G$14&gt;0,F16/'Gårdens info'!$G$14,0)</f>
        <v>0</v>
      </c>
      <c r="I16" s="151" t="s">
        <v>6</v>
      </c>
      <c r="J16" s="298">
        <f>F16*'Gårdens info'!$D$14</f>
        <v>0</v>
      </c>
      <c r="K16" s="151" t="s">
        <v>365</v>
      </c>
      <c r="L16" s="297"/>
      <c r="M16" s="300"/>
      <c r="N16" s="288"/>
      <c r="O16" s="812">
        <f t="shared" si="0"/>
        <v>0</v>
      </c>
      <c r="P16" s="151" t="s">
        <v>21</v>
      </c>
      <c r="Q16" s="362" t="str">
        <f t="shared" si="1"/>
        <v>förpackning X</v>
      </c>
      <c r="R16" s="151"/>
      <c r="S16" s="454">
        <v>0</v>
      </c>
      <c r="T16" s="317"/>
      <c r="U16" s="300" t="s">
        <v>6</v>
      </c>
    </row>
    <row r="17" spans="1:29" s="91" customFormat="1" ht="15.6" thickBot="1" x14ac:dyDescent="0.3">
      <c r="A17" s="778"/>
      <c r="B17" s="296"/>
      <c r="C17" s="289" t="s">
        <v>244</v>
      </c>
      <c r="D17" s="297"/>
      <c r="E17" s="297"/>
      <c r="F17" s="298">
        <f>IF('Gårdens info'!D14&gt;0,J84,0)</f>
        <v>0</v>
      </c>
      <c r="G17" s="151" t="s">
        <v>14</v>
      </c>
      <c r="H17" s="614">
        <f>IF('Gårdens info'!$G$14&gt;0,F17/'Gårdens info'!$G$14,0)</f>
        <v>0</v>
      </c>
      <c r="I17" s="151" t="s">
        <v>6</v>
      </c>
      <c r="J17" s="298">
        <f>F17*'Gårdens info'!$D$14</f>
        <v>0</v>
      </c>
      <c r="K17" s="151" t="s">
        <v>365</v>
      </c>
      <c r="L17" s="297"/>
      <c r="M17" s="300"/>
      <c r="N17" s="442"/>
      <c r="O17" s="812">
        <f t="shared" si="0"/>
        <v>0</v>
      </c>
      <c r="P17" s="151" t="s">
        <v>21</v>
      </c>
      <c r="Q17" s="362" t="str">
        <f t="shared" si="1"/>
        <v>förpackning X</v>
      </c>
      <c r="R17" s="151"/>
      <c r="S17" s="453">
        <v>0</v>
      </c>
      <c r="T17" s="317"/>
      <c r="U17" s="300" t="s">
        <v>6</v>
      </c>
    </row>
    <row r="18" spans="1:29" s="91" customFormat="1" ht="17.399999999999999" x14ac:dyDescent="0.3">
      <c r="A18" s="778"/>
      <c r="B18" s="296"/>
      <c r="C18" s="289" t="s">
        <v>245</v>
      </c>
      <c r="D18" s="297"/>
      <c r="E18" s="297"/>
      <c r="F18" s="298">
        <f>IF('Gårdens info'!D14&gt;0,J105,0)</f>
        <v>0</v>
      </c>
      <c r="G18" s="151" t="s">
        <v>14</v>
      </c>
      <c r="H18" s="614">
        <f>IF('Gårdens info'!$G$14&gt;0,F18/'Gårdens info'!$G$14,0)</f>
        <v>0</v>
      </c>
      <c r="I18" s="151" t="s">
        <v>6</v>
      </c>
      <c r="J18" s="298">
        <f>F18*'Gårdens info'!$D$14</f>
        <v>0</v>
      </c>
      <c r="K18" s="151" t="s">
        <v>365</v>
      </c>
      <c r="L18" s="297"/>
      <c r="M18" s="300"/>
      <c r="N18" s="446"/>
      <c r="O18" s="946" t="s">
        <v>196</v>
      </c>
      <c r="P18" s="946"/>
      <c r="Q18" s="946"/>
      <c r="R18" s="153"/>
      <c r="S18" s="450">
        <f>SUM(S10:S17)</f>
        <v>1</v>
      </c>
      <c r="T18" s="153"/>
      <c r="U18" s="295"/>
    </row>
    <row r="19" spans="1:29" s="91" customFormat="1" ht="15.6" x14ac:dyDescent="0.3">
      <c r="A19" s="778"/>
      <c r="B19" s="296"/>
      <c r="C19" s="289" t="s">
        <v>246</v>
      </c>
      <c r="D19" s="297"/>
      <c r="E19" s="297"/>
      <c r="F19" s="298">
        <f>IF('Gårdens info'!D14&gt;0,J118,0)</f>
        <v>0</v>
      </c>
      <c r="G19" s="151" t="s">
        <v>14</v>
      </c>
      <c r="H19" s="614">
        <f>IF('Gårdens info'!$G$14&gt;0,F19/'Gårdens info'!$G$14,0)</f>
        <v>0</v>
      </c>
      <c r="I19" s="151" t="s">
        <v>6</v>
      </c>
      <c r="J19" s="298">
        <f>F19*'Gårdens info'!$D$14</f>
        <v>0</v>
      </c>
      <c r="K19" s="151" t="s">
        <v>365</v>
      </c>
      <c r="L19" s="297"/>
      <c r="M19" s="300"/>
      <c r="N19" s="288"/>
      <c r="O19" s="451" t="str">
        <f>IF(S18=100%," ","HUOM! Osuus myyynneistä pitää summautua 100 prosenttiin")</f>
        <v xml:space="preserve"> </v>
      </c>
      <c r="P19" s="151"/>
      <c r="R19" s="151"/>
      <c r="S19" s="151"/>
      <c r="T19" s="151"/>
      <c r="U19" s="300"/>
    </row>
    <row r="20" spans="1:29" s="91" customFormat="1" ht="15.6" thickBot="1" x14ac:dyDescent="0.3">
      <c r="A20" s="778"/>
      <c r="B20" s="296"/>
      <c r="C20" s="289" t="s">
        <v>247</v>
      </c>
      <c r="D20" s="297"/>
      <c r="E20" s="297"/>
      <c r="F20" s="298">
        <f>IF('Gårdens info'!D14&gt;0,122,0)</f>
        <v>0</v>
      </c>
      <c r="G20" s="151" t="s">
        <v>14</v>
      </c>
      <c r="H20" s="614">
        <f>IF('Gårdens info'!$G$14&gt;0,F20/'Gårdens info'!$G$14,0)</f>
        <v>0</v>
      </c>
      <c r="I20" s="151" t="s">
        <v>6</v>
      </c>
      <c r="J20" s="298">
        <f>F20*'Gårdens info'!$D$14</f>
        <v>0</v>
      </c>
      <c r="K20" s="151" t="s">
        <v>365</v>
      </c>
      <c r="L20" s="297"/>
      <c r="M20" s="300"/>
      <c r="N20" s="447"/>
      <c r="O20" s="448"/>
      <c r="P20" s="448"/>
      <c r="Q20" s="448"/>
      <c r="R20" s="448"/>
      <c r="S20" s="448"/>
      <c r="T20" s="448"/>
      <c r="U20" s="449"/>
    </row>
    <row r="21" spans="1:29" s="91" customFormat="1" ht="15" x14ac:dyDescent="0.25">
      <c r="A21" s="778"/>
      <c r="B21" s="296"/>
      <c r="C21" s="289" t="s">
        <v>248</v>
      </c>
      <c r="D21" s="297"/>
      <c r="E21" s="297"/>
      <c r="F21" s="298">
        <f>IF('Gårdens info'!D14&gt;0,J134,0)</f>
        <v>0</v>
      </c>
      <c r="G21" s="151" t="s">
        <v>14</v>
      </c>
      <c r="H21" s="614">
        <f>IF('Gårdens info'!$G$14&gt;0,F21/'Gårdens info'!$G$14,0)</f>
        <v>0</v>
      </c>
      <c r="I21" s="151" t="s">
        <v>6</v>
      </c>
      <c r="J21" s="298">
        <f>F21*'Gårdens info'!$D$14</f>
        <v>0</v>
      </c>
      <c r="K21" s="151" t="s">
        <v>365</v>
      </c>
      <c r="L21" s="297"/>
      <c r="M21" s="300"/>
    </row>
    <row r="22" spans="1:29" s="91" customFormat="1" ht="15" x14ac:dyDescent="0.25">
      <c r="A22" s="778"/>
      <c r="B22" s="296"/>
      <c r="C22" s="289" t="s">
        <v>249</v>
      </c>
      <c r="D22" s="297"/>
      <c r="E22" s="297"/>
      <c r="F22" s="298">
        <f>IF('Gårdens info'!D14&gt;0,J146,0)</f>
        <v>0</v>
      </c>
      <c r="G22" s="151" t="s">
        <v>14</v>
      </c>
      <c r="H22" s="614">
        <f>IF('Gårdens info'!$G$14&gt;0,F22/'Gårdens info'!$G$14,0)</f>
        <v>0</v>
      </c>
      <c r="I22" s="151" t="s">
        <v>6</v>
      </c>
      <c r="J22" s="298">
        <f>F22*'Gårdens info'!$D$14</f>
        <v>0</v>
      </c>
      <c r="K22" s="151" t="s">
        <v>365</v>
      </c>
      <c r="L22" s="297"/>
      <c r="M22" s="300"/>
    </row>
    <row r="23" spans="1:29" s="91" customFormat="1" ht="15" x14ac:dyDescent="0.25">
      <c r="A23" s="778"/>
      <c r="B23" s="296"/>
      <c r="C23" s="289" t="s">
        <v>250</v>
      </c>
      <c r="D23" s="297"/>
      <c r="E23" s="297"/>
      <c r="F23" s="298">
        <f>IF('Gårdens info'!D14&gt;0,L173,0)</f>
        <v>0</v>
      </c>
      <c r="G23" s="151" t="s">
        <v>14</v>
      </c>
      <c r="H23" s="614">
        <f>IF('Gårdens info'!$G$14&gt;0,F23/'Gårdens info'!$G$14,0)</f>
        <v>0</v>
      </c>
      <c r="I23" s="151" t="s">
        <v>6</v>
      </c>
      <c r="J23" s="298">
        <f>F23*'Gårdens info'!$D$14</f>
        <v>0</v>
      </c>
      <c r="K23" s="151" t="s">
        <v>365</v>
      </c>
      <c r="L23" s="297"/>
      <c r="M23" s="300"/>
    </row>
    <row r="24" spans="1:29" ht="15.6" x14ac:dyDescent="0.3">
      <c r="B24" s="312"/>
      <c r="C24" s="301" t="s">
        <v>196</v>
      </c>
      <c r="D24" s="302"/>
      <c r="E24" s="302"/>
      <c r="F24" s="303">
        <f>SUM(F16:F23)</f>
        <v>0</v>
      </c>
      <c r="G24" s="304" t="s">
        <v>14</v>
      </c>
      <c r="H24" s="615">
        <f>SUM(H16:H23)</f>
        <v>0</v>
      </c>
      <c r="I24" s="304" t="s">
        <v>6</v>
      </c>
      <c r="J24" s="303">
        <f>SUM(J16:J23)</f>
        <v>0</v>
      </c>
      <c r="K24" s="304" t="s">
        <v>365</v>
      </c>
      <c r="L24" s="302"/>
      <c r="M24" s="313"/>
      <c r="N24" s="91"/>
      <c r="O24" s="91"/>
      <c r="P24" s="91"/>
      <c r="Q24" s="91"/>
      <c r="R24" s="91"/>
      <c r="S24" s="91"/>
      <c r="T24" s="91"/>
      <c r="U24" s="91"/>
    </row>
    <row r="25" spans="1:29" s="77" customFormat="1" ht="17.399999999999999" x14ac:dyDescent="0.3">
      <c r="A25" s="779"/>
      <c r="B25" s="292"/>
      <c r="C25" s="306"/>
      <c r="D25" s="307"/>
      <c r="E25" s="307"/>
      <c r="F25" s="308"/>
      <c r="G25" s="151"/>
      <c r="H25" s="616"/>
      <c r="I25" s="307"/>
      <c r="J25" s="307"/>
      <c r="K25" s="307"/>
      <c r="L25" s="307"/>
      <c r="M25" s="287"/>
      <c r="N25" s="91"/>
      <c r="O25" s="91"/>
      <c r="P25" s="91"/>
      <c r="R25" s="91"/>
      <c r="S25" s="91"/>
      <c r="T25" s="91"/>
      <c r="U25" s="91"/>
      <c r="AB25" s="551" t="s">
        <v>74</v>
      </c>
      <c r="AC25" s="678">
        <f>F16</f>
        <v>0</v>
      </c>
    </row>
    <row r="26" spans="1:29" s="91" customFormat="1" ht="17.399999999999999" customHeight="1" x14ac:dyDescent="0.3">
      <c r="A26" s="778"/>
      <c r="B26" s="947" t="s">
        <v>346</v>
      </c>
      <c r="C26" s="948"/>
      <c r="D26" s="948"/>
      <c r="E26" s="948"/>
      <c r="F26" s="325">
        <f>IF('Gårdens info'!D14&gt;0,J26/'Gårdens info'!D14,0)</f>
        <v>0</v>
      </c>
      <c r="G26" s="304" t="s">
        <v>14</v>
      </c>
      <c r="H26" s="617">
        <f>IF('Gårdens info'!G14&gt;0,F26/'Gårdens info'!G14,0)</f>
        <v>0</v>
      </c>
      <c r="I26" s="304" t="s">
        <v>6</v>
      </c>
      <c r="J26" s="320">
        <f>'Gårdens info'!G147/'Gårdens info'!D37*'Gårdens info'!D14</f>
        <v>0</v>
      </c>
      <c r="K26" s="304" t="s">
        <v>365</v>
      </c>
      <c r="L26" s="327"/>
      <c r="M26" s="321"/>
      <c r="N26"/>
      <c r="O26"/>
      <c r="P26"/>
      <c r="S26"/>
      <c r="T26"/>
      <c r="U26"/>
      <c r="AB26" s="457" t="str">
        <f t="shared" ref="AB26:AB32" si="2">C17</f>
        <v>Gödsel och kalk</v>
      </c>
      <c r="AC26" s="678">
        <f t="shared" ref="AC26:AC32" si="3">F17</f>
        <v>0</v>
      </c>
    </row>
    <row r="27" spans="1:29" s="91" customFormat="1" ht="17.399999999999999" customHeight="1" x14ac:dyDescent="0.3">
      <c r="A27" s="778"/>
      <c r="B27" s="949" t="s">
        <v>347</v>
      </c>
      <c r="C27" s="950"/>
      <c r="D27" s="950"/>
      <c r="E27" s="950"/>
      <c r="F27" s="325">
        <f>'Gårdens info'!$G$42*'Gårdens info'!$D$42/'Gårdens info'!$D$37*'Gårdens info'!D14</f>
        <v>0</v>
      </c>
      <c r="G27" s="304" t="s">
        <v>14</v>
      </c>
      <c r="H27" s="617">
        <f>IF('Gårdens info'!G14&gt;0,F27/'Gårdens info'!G14,0)</f>
        <v>0</v>
      </c>
      <c r="I27" s="304" t="s">
        <v>6</v>
      </c>
      <c r="J27" s="320">
        <f>F27*'Gårdens info'!D14</f>
        <v>0</v>
      </c>
      <c r="K27" s="304" t="s">
        <v>365</v>
      </c>
      <c r="L27" s="327"/>
      <c r="M27" s="321"/>
      <c r="N27" s="77"/>
      <c r="O27" s="77"/>
      <c r="P27" s="77"/>
      <c r="S27" s="77"/>
      <c r="T27" s="77"/>
      <c r="U27" s="77"/>
      <c r="AB27" s="457" t="str">
        <f t="shared" si="2"/>
        <v>IPM Växtskydd</v>
      </c>
      <c r="AC27" s="678">
        <f t="shared" si="3"/>
        <v>0</v>
      </c>
    </row>
    <row r="28" spans="1:29" s="91" customFormat="1" ht="21" customHeight="1" x14ac:dyDescent="0.4">
      <c r="A28" s="778"/>
      <c r="B28" s="932" t="s">
        <v>226</v>
      </c>
      <c r="C28" s="933"/>
      <c r="D28" s="933"/>
      <c r="E28" s="324"/>
      <c r="F28" s="328">
        <f>F24+F26+F27</f>
        <v>0</v>
      </c>
      <c r="G28" s="329" t="s">
        <v>14</v>
      </c>
      <c r="H28" s="618">
        <f>H24+H26+H27</f>
        <v>0</v>
      </c>
      <c r="I28" s="329" t="s">
        <v>6</v>
      </c>
      <c r="J28" s="331">
        <f>J24+J26+J27</f>
        <v>0</v>
      </c>
      <c r="K28" s="329" t="s">
        <v>365</v>
      </c>
      <c r="L28" s="329"/>
      <c r="M28" s="321"/>
      <c r="AB28" s="457" t="str">
        <f t="shared" si="2"/>
        <v>Packningsmaterial</v>
      </c>
      <c r="AC28" s="678">
        <f t="shared" si="3"/>
        <v>0</v>
      </c>
    </row>
    <row r="29" spans="1:29" s="91" customFormat="1" ht="21" x14ac:dyDescent="0.4">
      <c r="A29" s="778"/>
      <c r="B29" s="832"/>
      <c r="C29" s="833"/>
      <c r="D29" s="833"/>
      <c r="E29" s="324"/>
      <c r="F29" s="328"/>
      <c r="G29" s="329"/>
      <c r="H29" s="330"/>
      <c r="I29" s="329"/>
      <c r="J29" s="331"/>
      <c r="K29" s="329"/>
      <c r="L29" s="329"/>
      <c r="M29" s="321"/>
      <c r="AB29" s="457" t="str">
        <f t="shared" si="2"/>
        <v>Fraktkostnader</v>
      </c>
      <c r="AC29" s="678">
        <f t="shared" si="3"/>
        <v>0</v>
      </c>
    </row>
    <row r="30" spans="1:29" s="91" customFormat="1" ht="21" x14ac:dyDescent="0.4">
      <c r="A30" s="778"/>
      <c r="B30" s="319" t="s">
        <v>348</v>
      </c>
      <c r="C30" s="286"/>
      <c r="D30" s="148"/>
      <c r="E30" s="148"/>
      <c r="F30" s="148"/>
      <c r="G30" s="148"/>
      <c r="H30" s="148"/>
      <c r="I30" s="148"/>
      <c r="J30" s="293"/>
      <c r="K30" s="148"/>
      <c r="L30" s="148"/>
      <c r="M30" s="287"/>
      <c r="AB30" s="457" t="str">
        <f t="shared" si="2"/>
        <v>Maskinkostnader och entreprenad</v>
      </c>
      <c r="AC30" s="678">
        <f t="shared" si="3"/>
        <v>0</v>
      </c>
    </row>
    <row r="31" spans="1:29" s="91" customFormat="1" ht="21" customHeight="1" x14ac:dyDescent="0.4">
      <c r="A31" s="778"/>
      <c r="B31" s="947" t="s">
        <v>149</v>
      </c>
      <c r="C31" s="948"/>
      <c r="D31" s="833"/>
      <c r="E31" s="324"/>
      <c r="F31" s="328"/>
      <c r="G31" s="329"/>
      <c r="H31" s="330"/>
      <c r="I31" s="329"/>
      <c r="J31" s="331"/>
      <c r="K31" s="329"/>
      <c r="L31" s="329"/>
      <c r="M31" s="321"/>
      <c r="AB31" s="457" t="str">
        <f t="shared" si="2"/>
        <v>Energikostnader</v>
      </c>
      <c r="AC31" s="678">
        <f t="shared" si="3"/>
        <v>0</v>
      </c>
    </row>
    <row r="32" spans="1:29" s="91" customFormat="1" ht="21" x14ac:dyDescent="0.4">
      <c r="A32" s="778"/>
      <c r="B32" s="350"/>
      <c r="C32" s="838" t="s">
        <v>264</v>
      </c>
      <c r="D32" s="833"/>
      <c r="E32" s="324"/>
      <c r="F32" s="338">
        <f>IF('Gårdens info'!$D$14&gt;0,J32/'Gårdens info'!$D$14,0)</f>
        <v>0</v>
      </c>
      <c r="G32" s="151" t="s">
        <v>14</v>
      </c>
      <c r="H32" s="613">
        <f>IF('Gårdens info'!$G$14&gt;0,F32/'Gårdens info'!$G$14,0)</f>
        <v>0</v>
      </c>
      <c r="I32" s="151" t="s">
        <v>6</v>
      </c>
      <c r="J32" s="298">
        <f>Ägendom!AM22</f>
        <v>0</v>
      </c>
      <c r="K32" s="151" t="s">
        <v>365</v>
      </c>
      <c r="L32" s="329"/>
      <c r="M32" s="321"/>
      <c r="AB32" s="457" t="str">
        <f t="shared" si="2"/>
        <v>Anställd arbetskraft</v>
      </c>
      <c r="AC32" s="678">
        <f t="shared" si="3"/>
        <v>0</v>
      </c>
    </row>
    <row r="33" spans="1:29" s="236" customFormat="1" ht="21" x14ac:dyDescent="0.4">
      <c r="A33" s="780"/>
      <c r="B33" s="350"/>
      <c r="C33" s="838" t="s">
        <v>265</v>
      </c>
      <c r="D33" s="833"/>
      <c r="E33" s="324"/>
      <c r="F33" s="338">
        <f>IF('Gårdens info'!$D$14&gt;0,J33/'Gårdens info'!$D$14,0)</f>
        <v>0</v>
      </c>
      <c r="G33" s="151" t="s">
        <v>14</v>
      </c>
      <c r="H33" s="613">
        <f>IF('Gårdens info'!$G$14&gt;0,F33/'Gårdens info'!$G$14,0)</f>
        <v>0</v>
      </c>
      <c r="I33" s="151" t="s">
        <v>6</v>
      </c>
      <c r="J33" s="298">
        <f>Ägendom!BI22</f>
        <v>0</v>
      </c>
      <c r="K33" s="151" t="s">
        <v>365</v>
      </c>
      <c r="L33" s="329"/>
      <c r="M33" s="321"/>
      <c r="N33" s="91"/>
      <c r="O33" s="91"/>
      <c r="P33" s="91"/>
      <c r="S33" s="91"/>
      <c r="T33" s="91"/>
      <c r="U33" s="91"/>
      <c r="AB33" s="459" t="s">
        <v>17</v>
      </c>
      <c r="AC33" s="459">
        <f>F26</f>
        <v>0</v>
      </c>
    </row>
    <row r="34" spans="1:29" ht="17.399999999999999" customHeight="1" x14ac:dyDescent="0.3">
      <c r="B34" s="350"/>
      <c r="C34" s="941" t="s">
        <v>266</v>
      </c>
      <c r="D34" s="941"/>
      <c r="E34" s="324"/>
      <c r="F34" s="338">
        <f>IF('Gårdens info'!$D$14&gt;0,J34/'Gårdens info'!$D$14,0)</f>
        <v>0</v>
      </c>
      <c r="G34" s="151" t="s">
        <v>14</v>
      </c>
      <c r="H34" s="613">
        <f>IF('Gårdens info'!$G$14&gt;0,F34/'Gårdens info'!$G$14,0)</f>
        <v>0</v>
      </c>
      <c r="I34" s="151" t="s">
        <v>6</v>
      </c>
      <c r="J34" s="298">
        <f>Ägendom!CE22</f>
        <v>0</v>
      </c>
      <c r="K34" s="151" t="s">
        <v>365</v>
      </c>
      <c r="L34" s="329"/>
      <c r="M34" s="321"/>
      <c r="N34" s="91"/>
      <c r="O34" s="91"/>
      <c r="P34" s="91"/>
      <c r="S34" s="91"/>
      <c r="T34" s="91"/>
      <c r="U34" s="91"/>
      <c r="AB34" s="457" t="s">
        <v>51</v>
      </c>
      <c r="AC34" s="459">
        <f>F27</f>
        <v>0</v>
      </c>
    </row>
    <row r="35" spans="1:29" ht="21" x14ac:dyDescent="0.4">
      <c r="B35" s="350"/>
      <c r="C35" s="838" t="s">
        <v>267</v>
      </c>
      <c r="D35" s="833"/>
      <c r="E35" s="324"/>
      <c r="F35" s="338">
        <f>IF('Gårdens info'!$D$14&gt;0,J35/'Gårdens info'!$D$14,0)</f>
        <v>0</v>
      </c>
      <c r="G35" s="151" t="s">
        <v>14</v>
      </c>
      <c r="H35" s="613">
        <f>IF('Gårdens info'!$G$14&gt;0,F35/'Gårdens info'!$G$14,0)</f>
        <v>0</v>
      </c>
      <c r="I35" s="151" t="s">
        <v>6</v>
      </c>
      <c r="J35" s="298">
        <f>Ägendom!DA22</f>
        <v>0</v>
      </c>
      <c r="K35" s="151" t="s">
        <v>365</v>
      </c>
      <c r="L35" s="329"/>
      <c r="M35" s="321"/>
      <c r="N35" s="236"/>
      <c r="O35" s="236"/>
      <c r="P35" s="236"/>
      <c r="S35" s="236"/>
      <c r="T35" s="236"/>
      <c r="U35" s="236"/>
      <c r="AB35" s="457" t="s">
        <v>12</v>
      </c>
      <c r="AC35" s="460">
        <f>F36</f>
        <v>0</v>
      </c>
    </row>
    <row r="36" spans="1:29" ht="20.399999999999999" x14ac:dyDescent="0.35">
      <c r="B36" s="352"/>
      <c r="C36" s="340" t="s">
        <v>196</v>
      </c>
      <c r="D36" s="341"/>
      <c r="E36" s="324"/>
      <c r="F36" s="338">
        <f>IF('Gårdens info'!$D$14&gt;0,J36/'Gårdens info'!$D$14,0)</f>
        <v>0</v>
      </c>
      <c r="G36" s="151" t="s">
        <v>14</v>
      </c>
      <c r="H36" s="727">
        <f>SUM(H32:H35)</f>
        <v>0</v>
      </c>
      <c r="I36" s="151" t="s">
        <v>6</v>
      </c>
      <c r="J36" s="342">
        <f t="shared" ref="J36" si="4">SUM(J32:J35)</f>
        <v>0</v>
      </c>
      <c r="K36" s="151" t="s">
        <v>365</v>
      </c>
      <c r="L36" s="343"/>
      <c r="M36" s="321"/>
      <c r="AB36" s="457" t="s">
        <v>13</v>
      </c>
      <c r="AC36" s="461">
        <f>F43</f>
        <v>0</v>
      </c>
    </row>
    <row r="37" spans="1:29" s="91" customFormat="1" ht="21" x14ac:dyDescent="0.4">
      <c r="A37" s="778"/>
      <c r="B37" s="350"/>
      <c r="C37" s="838"/>
      <c r="D37" s="833"/>
      <c r="E37" s="324"/>
      <c r="F37" s="338"/>
      <c r="G37" s="151"/>
      <c r="H37" s="339"/>
      <c r="I37" s="151"/>
      <c r="J37" s="298"/>
      <c r="K37" s="151"/>
      <c r="L37" s="329"/>
      <c r="M37" s="321"/>
      <c r="N37"/>
      <c r="O37"/>
      <c r="P37"/>
      <c r="S37"/>
      <c r="T37"/>
      <c r="U37"/>
      <c r="AB37" s="457" t="s">
        <v>50</v>
      </c>
      <c r="AC37" s="461">
        <f>F50</f>
        <v>0</v>
      </c>
    </row>
    <row r="38" spans="1:29" s="91" customFormat="1" ht="17.399999999999999" customHeight="1" x14ac:dyDescent="0.3">
      <c r="A38" s="778"/>
      <c r="B38" s="947" t="s">
        <v>150</v>
      </c>
      <c r="C38" s="948"/>
      <c r="D38" s="948"/>
      <c r="E38" s="324"/>
      <c r="F38" s="338"/>
      <c r="G38" s="151"/>
      <c r="H38" s="339"/>
      <c r="I38" s="151"/>
      <c r="J38" s="298"/>
      <c r="K38" s="151"/>
      <c r="L38" s="329"/>
      <c r="M38" s="321"/>
      <c r="N38"/>
      <c r="O38"/>
      <c r="P38"/>
      <c r="S38"/>
      <c r="T38"/>
      <c r="U38"/>
      <c r="AB38" s="457" t="s">
        <v>23</v>
      </c>
      <c r="AC38" s="461">
        <f>F56</f>
        <v>0</v>
      </c>
    </row>
    <row r="39" spans="1:29" s="91" customFormat="1" ht="21" x14ac:dyDescent="0.4">
      <c r="A39" s="778"/>
      <c r="B39" s="350"/>
      <c r="C39" s="838" t="s">
        <v>264</v>
      </c>
      <c r="D39" s="833"/>
      <c r="E39" s="324"/>
      <c r="F39" s="338">
        <f>IF('Gårdens info'!$D$14&gt;0,J39/'Gårdens info'!$D$14,0)</f>
        <v>0</v>
      </c>
      <c r="G39" s="151" t="s">
        <v>14</v>
      </c>
      <c r="H39" s="613">
        <f>IF('Gårdens info'!$G$14&gt;0,F39/'Gårdens info'!$G$14,0)</f>
        <v>0</v>
      </c>
      <c r="I39" s="151" t="s">
        <v>6</v>
      </c>
      <c r="J39" s="298">
        <f>Ägendom!AM51</f>
        <v>0</v>
      </c>
      <c r="K39" s="151" t="s">
        <v>365</v>
      </c>
      <c r="L39" s="329"/>
      <c r="M39" s="321"/>
      <c r="AB39" s="457" t="s">
        <v>44</v>
      </c>
      <c r="AC39" s="459">
        <f>F62</f>
        <v>0</v>
      </c>
    </row>
    <row r="40" spans="1:29" s="8" customFormat="1" ht="21" x14ac:dyDescent="0.4">
      <c r="A40" s="777"/>
      <c r="B40" s="350"/>
      <c r="C40" s="838" t="s">
        <v>265</v>
      </c>
      <c r="D40" s="833"/>
      <c r="E40" s="324"/>
      <c r="F40" s="338">
        <f>IF('Gårdens info'!$D$14&gt;0,J40/'Gårdens info'!$D$14,0)</f>
        <v>0</v>
      </c>
      <c r="G40" s="151" t="s">
        <v>14</v>
      </c>
      <c r="H40" s="613">
        <f>IF('Gårdens info'!$G$14&gt;0,F40/'Gårdens info'!$G$14,0)</f>
        <v>0</v>
      </c>
      <c r="I40" s="151" t="s">
        <v>6</v>
      </c>
      <c r="J40" s="298">
        <f>Ägendom!BI51</f>
        <v>0</v>
      </c>
      <c r="K40" s="151" t="s">
        <v>365</v>
      </c>
      <c r="L40" s="329"/>
      <c r="M40" s="321"/>
      <c r="N40" s="91"/>
      <c r="O40" s="91"/>
      <c r="P40" s="91"/>
      <c r="Q40" s="91"/>
      <c r="R40" s="91"/>
      <c r="S40" s="91"/>
      <c r="T40" s="91"/>
      <c r="U40" s="91"/>
    </row>
    <row r="41" spans="1:29" s="8" customFormat="1" ht="17.399999999999999" customHeight="1" x14ac:dyDescent="0.3">
      <c r="A41" s="777"/>
      <c r="B41" s="350"/>
      <c r="C41" s="941" t="s">
        <v>266</v>
      </c>
      <c r="D41" s="941"/>
      <c r="E41" s="324"/>
      <c r="F41" s="338">
        <f>IF('Gårdens info'!$D$14&gt;0,J41/'Gårdens info'!$D$14,0)</f>
        <v>0</v>
      </c>
      <c r="G41" s="151" t="s">
        <v>14</v>
      </c>
      <c r="H41" s="613">
        <f>IF('Gårdens info'!$G$14&gt;0,F41/'Gårdens info'!$G$14,0)</f>
        <v>0</v>
      </c>
      <c r="I41" s="151" t="s">
        <v>6</v>
      </c>
      <c r="J41" s="298">
        <f>Ägendom!CE51</f>
        <v>0</v>
      </c>
      <c r="K41" s="151" t="s">
        <v>365</v>
      </c>
      <c r="L41" s="329"/>
      <c r="M41" s="321"/>
      <c r="N41" s="91"/>
      <c r="O41" s="91"/>
      <c r="P41" s="91"/>
      <c r="Q41" s="91"/>
      <c r="R41" s="91"/>
      <c r="S41" s="91"/>
      <c r="T41" s="91"/>
      <c r="U41" s="91"/>
    </row>
    <row r="42" spans="1:29" s="8" customFormat="1" ht="21" x14ac:dyDescent="0.4">
      <c r="A42" s="777"/>
      <c r="B42" s="350"/>
      <c r="C42" s="838" t="s">
        <v>267</v>
      </c>
      <c r="D42" s="833"/>
      <c r="E42" s="324"/>
      <c r="F42" s="338">
        <f>IF('Gårdens info'!$D$14&gt;0,J42/'Gårdens info'!$D$14,0)</f>
        <v>0</v>
      </c>
      <c r="G42" s="151" t="s">
        <v>14</v>
      </c>
      <c r="H42" s="613">
        <f>IF('Gårdens info'!$G$14&gt;0,F42/'Gårdens info'!$G$14,0)</f>
        <v>0</v>
      </c>
      <c r="I42" s="151" t="s">
        <v>6</v>
      </c>
      <c r="J42" s="298">
        <f>Ägendom!DA51</f>
        <v>0</v>
      </c>
      <c r="K42" s="151" t="s">
        <v>365</v>
      </c>
      <c r="L42" s="329"/>
      <c r="M42" s="321"/>
    </row>
    <row r="43" spans="1:29" s="8" customFormat="1" ht="20.399999999999999" x14ac:dyDescent="0.35">
      <c r="A43" s="777"/>
      <c r="B43" s="352"/>
      <c r="C43" s="340" t="s">
        <v>196</v>
      </c>
      <c r="D43" s="341"/>
      <c r="E43" s="324"/>
      <c r="F43" s="342">
        <f>SUM(F39:F42)</f>
        <v>0</v>
      </c>
      <c r="G43" s="151" t="s">
        <v>14</v>
      </c>
      <c r="H43" s="727">
        <f>SUM(H39:H42)</f>
        <v>0</v>
      </c>
      <c r="I43" s="151" t="s">
        <v>6</v>
      </c>
      <c r="J43" s="342">
        <f t="shared" ref="J43" si="5">SUM(J39:J42)</f>
        <v>0</v>
      </c>
      <c r="K43" s="151" t="s">
        <v>365</v>
      </c>
      <c r="L43" s="343"/>
      <c r="M43" s="321"/>
    </row>
    <row r="44" spans="1:29" s="8" customFormat="1" ht="21" x14ac:dyDescent="0.4">
      <c r="A44" s="777"/>
      <c r="B44" s="350"/>
      <c r="C44" s="838"/>
      <c r="D44" s="833"/>
      <c r="E44" s="324"/>
      <c r="F44" s="338"/>
      <c r="G44" s="151"/>
      <c r="H44" s="339"/>
      <c r="I44" s="151"/>
      <c r="J44" s="298"/>
      <c r="K44" s="151"/>
      <c r="L44" s="329"/>
      <c r="M44" s="321"/>
    </row>
    <row r="45" spans="1:29" s="8" customFormat="1" ht="43.05" customHeight="1" x14ac:dyDescent="0.3">
      <c r="A45" s="777"/>
      <c r="B45" s="947" t="s">
        <v>151</v>
      </c>
      <c r="C45" s="948"/>
      <c r="D45" s="948"/>
      <c r="E45" s="324"/>
      <c r="F45" s="338"/>
      <c r="G45" s="151"/>
      <c r="H45" s="339"/>
      <c r="I45" s="151"/>
      <c r="J45" s="298"/>
      <c r="K45" s="151"/>
      <c r="L45" s="329"/>
      <c r="M45" s="321"/>
    </row>
    <row r="46" spans="1:29" ht="21" x14ac:dyDescent="0.4">
      <c r="B46" s="350"/>
      <c r="C46" s="838" t="s">
        <v>264</v>
      </c>
      <c r="D46" s="833"/>
      <c r="E46" s="324"/>
      <c r="F46" s="338">
        <f>IF('Gårdens info'!$D$14&gt;0,J46/'Gårdens info'!$D$14,0)</f>
        <v>0</v>
      </c>
      <c r="G46" s="151" t="s">
        <v>14</v>
      </c>
      <c r="H46" s="613">
        <f>IF('Gårdens info'!$G$14&gt;0,F46/'Gårdens info'!$G$14,0)</f>
        <v>0</v>
      </c>
      <c r="I46" s="151" t="s">
        <v>6</v>
      </c>
      <c r="J46" s="298">
        <f>Ägendom!AM76</f>
        <v>0</v>
      </c>
      <c r="K46" s="151" t="s">
        <v>365</v>
      </c>
      <c r="L46" s="329"/>
      <c r="M46" s="321"/>
      <c r="N46" s="8"/>
      <c r="O46" s="8"/>
      <c r="P46" s="8"/>
      <c r="Q46" s="8"/>
      <c r="R46" s="8"/>
      <c r="S46" s="8"/>
      <c r="T46" s="8"/>
      <c r="U46" s="8"/>
    </row>
    <row r="47" spans="1:29" s="8" customFormat="1" ht="21" x14ac:dyDescent="0.4">
      <c r="A47" s="777"/>
      <c r="B47" s="350"/>
      <c r="C47" s="838" t="s">
        <v>265</v>
      </c>
      <c r="D47" s="833"/>
      <c r="E47" s="324"/>
      <c r="F47" s="338">
        <f>IF('Gårdens info'!$D$14&gt;0,J47/'Gårdens info'!$D$14,0)</f>
        <v>0</v>
      </c>
      <c r="G47" s="151" t="s">
        <v>14</v>
      </c>
      <c r="H47" s="613">
        <f>IF('Gårdens info'!$G$14&gt;0,F47/'Gårdens info'!$G$14,0)</f>
        <v>0</v>
      </c>
      <c r="I47" s="151" t="s">
        <v>6</v>
      </c>
      <c r="J47" s="298">
        <f>Ägendom!BI76</f>
        <v>0</v>
      </c>
      <c r="K47" s="151" t="s">
        <v>365</v>
      </c>
      <c r="L47" s="329"/>
      <c r="M47" s="321"/>
    </row>
    <row r="48" spans="1:29" s="8" customFormat="1" ht="17.399999999999999" customHeight="1" x14ac:dyDescent="0.3">
      <c r="A48" s="777"/>
      <c r="B48" s="350"/>
      <c r="C48" s="941" t="s">
        <v>266</v>
      </c>
      <c r="D48" s="941"/>
      <c r="E48" s="324"/>
      <c r="F48" s="338">
        <f>IF('Gårdens info'!$D$14&gt;0,J48/'Gårdens info'!$D$14,0)</f>
        <v>0</v>
      </c>
      <c r="G48" s="151" t="s">
        <v>14</v>
      </c>
      <c r="H48" s="613">
        <f>IF('Gårdens info'!$G$14&gt;0,F48/'Gårdens info'!$G$14,0)</f>
        <v>0</v>
      </c>
      <c r="I48" s="151" t="s">
        <v>6</v>
      </c>
      <c r="J48" s="298">
        <f>Ägendom!CE76</f>
        <v>0</v>
      </c>
      <c r="K48" s="151" t="s">
        <v>365</v>
      </c>
      <c r="L48" s="329"/>
      <c r="M48" s="321"/>
      <c r="N48"/>
      <c r="O48"/>
      <c r="P48"/>
      <c r="Q48"/>
      <c r="R48"/>
      <c r="S48"/>
      <c r="T48"/>
      <c r="U48"/>
    </row>
    <row r="49" spans="1:13" s="8" customFormat="1" ht="21" x14ac:dyDescent="0.4">
      <c r="A49" s="777"/>
      <c r="B49" s="350"/>
      <c r="C49" s="838" t="s">
        <v>267</v>
      </c>
      <c r="D49" s="833"/>
      <c r="E49" s="324"/>
      <c r="F49" s="338">
        <f>IF('Gårdens info'!$D$14&gt;0,J49/'Gårdens info'!$D$14,0)</f>
        <v>0</v>
      </c>
      <c r="G49" s="151" t="s">
        <v>14</v>
      </c>
      <c r="H49" s="613">
        <f>IF('Gårdens info'!$G$14&gt;0,F49/'Gårdens info'!$G$14,0)</f>
        <v>0</v>
      </c>
      <c r="I49" s="151" t="s">
        <v>6</v>
      </c>
      <c r="J49" s="298">
        <f>Ägendom!DA76</f>
        <v>0</v>
      </c>
      <c r="K49" s="151" t="s">
        <v>365</v>
      </c>
      <c r="L49" s="329"/>
      <c r="M49" s="321"/>
    </row>
    <row r="50" spans="1:13" s="8" customFormat="1" ht="20.399999999999999" x14ac:dyDescent="0.35">
      <c r="A50" s="777"/>
      <c r="B50" s="352"/>
      <c r="C50" s="340" t="s">
        <v>196</v>
      </c>
      <c r="D50" s="341"/>
      <c r="E50" s="324"/>
      <c r="F50" s="342">
        <f>SUM(F46:F49)</f>
        <v>0</v>
      </c>
      <c r="G50" s="151" t="s">
        <v>14</v>
      </c>
      <c r="H50" s="727">
        <f>SUM(H46:H49)</f>
        <v>0</v>
      </c>
      <c r="I50" s="151" t="s">
        <v>6</v>
      </c>
      <c r="J50" s="342">
        <f t="shared" ref="J50" si="6">SUM(J46:J49)</f>
        <v>0</v>
      </c>
      <c r="K50" s="151" t="s">
        <v>365</v>
      </c>
      <c r="L50" s="343"/>
      <c r="M50" s="321"/>
    </row>
    <row r="51" spans="1:13" s="8" customFormat="1" ht="21" x14ac:dyDescent="0.4">
      <c r="A51" s="777"/>
      <c r="B51" s="350"/>
      <c r="C51" s="838"/>
      <c r="D51" s="833"/>
      <c r="E51" s="324"/>
      <c r="F51" s="338"/>
      <c r="G51" s="151"/>
      <c r="H51" s="339"/>
      <c r="I51" s="151"/>
      <c r="J51" s="298"/>
      <c r="K51" s="151"/>
      <c r="L51" s="329"/>
      <c r="M51" s="321"/>
    </row>
    <row r="52" spans="1:13" s="8" customFormat="1" ht="21" customHeight="1" x14ac:dyDescent="0.4">
      <c r="A52" s="777"/>
      <c r="B52" s="951" t="s">
        <v>160</v>
      </c>
      <c r="C52" s="952"/>
      <c r="D52" s="833"/>
      <c r="E52" s="324"/>
      <c r="F52" s="338"/>
      <c r="G52" s="151"/>
      <c r="H52" s="339"/>
      <c r="I52" s="151"/>
      <c r="J52" s="298"/>
      <c r="K52" s="151"/>
      <c r="L52" s="329"/>
      <c r="M52" s="321"/>
    </row>
    <row r="53" spans="1:13" s="8" customFormat="1" ht="21" x14ac:dyDescent="0.4">
      <c r="A53" s="777"/>
      <c r="B53" s="350"/>
      <c r="C53" s="838" t="s">
        <v>264</v>
      </c>
      <c r="D53" s="833"/>
      <c r="E53" s="324"/>
      <c r="F53" s="338">
        <f>IF('Gårdens info'!$D$14&gt;0,J53/'Gårdens info'!$D$14,0)</f>
        <v>0</v>
      </c>
      <c r="G53" s="151" t="s">
        <v>14</v>
      </c>
      <c r="H53" s="613">
        <f>IF('Gårdens info'!$G$14&gt;0,F53/'Gårdens info'!$G$14,0)</f>
        <v>0</v>
      </c>
      <c r="I53" s="151" t="s">
        <v>6</v>
      </c>
      <c r="J53" s="298">
        <f>Ägendom!AM79</f>
        <v>0</v>
      </c>
      <c r="K53" s="151" t="s">
        <v>365</v>
      </c>
      <c r="L53" s="329"/>
      <c r="M53" s="321"/>
    </row>
    <row r="54" spans="1:13" s="8" customFormat="1" ht="19.95" customHeight="1" x14ac:dyDescent="0.4">
      <c r="A54" s="777"/>
      <c r="B54" s="350"/>
      <c r="C54" s="838" t="s">
        <v>265</v>
      </c>
      <c r="D54" s="833"/>
      <c r="E54" s="324"/>
      <c r="F54" s="338">
        <f>IF('Gårdens info'!$D$14&gt;0,J54/'Gårdens info'!$D$14,0)</f>
        <v>0</v>
      </c>
      <c r="G54" s="151" t="s">
        <v>14</v>
      </c>
      <c r="H54" s="613">
        <f>IF('Gårdens info'!$G$14&gt;0,F54/'Gårdens info'!$G$14,0)</f>
        <v>0</v>
      </c>
      <c r="I54" s="151" t="s">
        <v>6</v>
      </c>
      <c r="J54" s="298">
        <f>Ägendom!BI79</f>
        <v>0</v>
      </c>
      <c r="K54" s="151" t="s">
        <v>365</v>
      </c>
      <c r="L54" s="329"/>
      <c r="M54" s="321"/>
    </row>
    <row r="55" spans="1:13" s="8" customFormat="1" ht="17.399999999999999" customHeight="1" x14ac:dyDescent="0.3">
      <c r="A55" s="777"/>
      <c r="B55" s="350"/>
      <c r="C55" s="941" t="s">
        <v>266</v>
      </c>
      <c r="D55" s="941"/>
      <c r="E55" s="324"/>
      <c r="F55" s="338">
        <f>IF('Gårdens info'!$D$14&gt;0,J55/'Gårdens info'!$D$14,0)</f>
        <v>0</v>
      </c>
      <c r="G55" s="151" t="s">
        <v>14</v>
      </c>
      <c r="H55" s="613">
        <f>IF('Gårdens info'!$G$14&gt;0,F55/'Gårdens info'!$G$14,0)</f>
        <v>0</v>
      </c>
      <c r="I55" s="151" t="s">
        <v>6</v>
      </c>
      <c r="J55" s="298">
        <f>Ägendom!CE79</f>
        <v>0</v>
      </c>
      <c r="K55" s="151" t="s">
        <v>365</v>
      </c>
      <c r="L55" s="329"/>
      <c r="M55" s="321"/>
    </row>
    <row r="56" spans="1:13" s="8" customFormat="1" ht="15.6" x14ac:dyDescent="0.3">
      <c r="A56" s="777"/>
      <c r="B56" s="349"/>
      <c r="C56" s="323" t="s">
        <v>196</v>
      </c>
      <c r="D56" s="323"/>
      <c r="E56" s="323"/>
      <c r="F56" s="342">
        <f>SUM(F53:F55)</f>
        <v>0</v>
      </c>
      <c r="G56" s="151" t="s">
        <v>14</v>
      </c>
      <c r="H56" s="727">
        <f>SUM(H53:H55)</f>
        <v>0</v>
      </c>
      <c r="I56" s="151" t="s">
        <v>6</v>
      </c>
      <c r="J56" s="342">
        <f t="shared" ref="J56" si="7">SUM(J53:J55)</f>
        <v>0</v>
      </c>
      <c r="K56" s="151" t="s">
        <v>365</v>
      </c>
      <c r="L56" s="347"/>
      <c r="M56" s="353"/>
    </row>
    <row r="57" spans="1:13" s="8" customFormat="1" ht="21" customHeight="1" x14ac:dyDescent="0.4">
      <c r="A57" s="777"/>
      <c r="B57" s="932" t="s">
        <v>229</v>
      </c>
      <c r="C57" s="933"/>
      <c r="D57" s="933"/>
      <c r="E57" s="324"/>
      <c r="F57" s="328">
        <f>F36+F43+F50+F56</f>
        <v>0</v>
      </c>
      <c r="G57" s="329" t="s">
        <v>14</v>
      </c>
      <c r="H57" s="618">
        <f>H36+H43+H50+H56</f>
        <v>0</v>
      </c>
      <c r="I57" s="329" t="s">
        <v>6</v>
      </c>
      <c r="J57" s="331">
        <f>J36+J43+J50+J56</f>
        <v>0</v>
      </c>
      <c r="K57" s="329" t="s">
        <v>365</v>
      </c>
      <c r="L57" s="329"/>
      <c r="M57" s="321"/>
    </row>
    <row r="58" spans="1:13" s="8" customFormat="1" ht="15.6" x14ac:dyDescent="0.3">
      <c r="A58" s="777"/>
      <c r="B58" s="349"/>
      <c r="C58" s="324"/>
      <c r="D58" s="324"/>
      <c r="E58" s="324"/>
      <c r="F58" s="325"/>
      <c r="G58" s="304"/>
      <c r="H58" s="326"/>
      <c r="I58" s="304"/>
      <c r="J58" s="320"/>
      <c r="K58" s="304"/>
      <c r="L58" s="327"/>
      <c r="M58" s="321"/>
    </row>
    <row r="59" spans="1:13" s="8" customFormat="1" ht="21" x14ac:dyDescent="0.4">
      <c r="A59" s="777"/>
      <c r="B59" s="319" t="s">
        <v>230</v>
      </c>
      <c r="C59" s="324"/>
      <c r="D59" s="324"/>
      <c r="E59" s="324"/>
      <c r="F59" s="325"/>
      <c r="G59" s="304"/>
      <c r="H59" s="326"/>
      <c r="I59" s="304"/>
      <c r="J59" s="320"/>
      <c r="K59" s="304"/>
      <c r="L59" s="327"/>
      <c r="M59" s="321"/>
    </row>
    <row r="60" spans="1:13" s="8" customFormat="1" ht="15" x14ac:dyDescent="0.25">
      <c r="A60" s="777"/>
      <c r="B60" s="296"/>
      <c r="C60" s="289" t="s">
        <v>230</v>
      </c>
      <c r="D60" s="297"/>
      <c r="E60" s="297"/>
      <c r="F60" s="298">
        <f>IF('Gårdens info'!D14&gt;0,H173,0)</f>
        <v>0</v>
      </c>
      <c r="G60" s="151" t="s">
        <v>14</v>
      </c>
      <c r="H60" s="614">
        <f>IF('Gårdens info'!G14&gt;0,F60/'Gårdens info'!$G$14,0)</f>
        <v>0</v>
      </c>
      <c r="I60" s="151" t="s">
        <v>6</v>
      </c>
      <c r="J60" s="298">
        <f>F60*'Gårdens info'!D10</f>
        <v>0</v>
      </c>
      <c r="K60" s="151" t="s">
        <v>365</v>
      </c>
      <c r="L60" s="297"/>
      <c r="M60" s="300"/>
    </row>
    <row r="61" spans="1:13" s="8" customFormat="1" ht="17.399999999999999" x14ac:dyDescent="0.3">
      <c r="A61" s="777"/>
      <c r="B61" s="841"/>
      <c r="C61" s="306"/>
      <c r="D61" s="310"/>
      <c r="E61" s="310"/>
      <c r="F61" s="311"/>
      <c r="G61" s="153"/>
      <c r="H61" s="310"/>
      <c r="I61" s="310"/>
      <c r="J61" s="310"/>
      <c r="K61" s="310"/>
      <c r="L61" s="310"/>
      <c r="M61" s="295"/>
    </row>
    <row r="62" spans="1:13" s="8" customFormat="1" ht="21" customHeight="1" x14ac:dyDescent="0.4">
      <c r="A62" s="777"/>
      <c r="B62" s="932" t="s">
        <v>231</v>
      </c>
      <c r="C62" s="933"/>
      <c r="D62" s="933"/>
      <c r="E62" s="324"/>
      <c r="F62" s="328">
        <f>F60</f>
        <v>0</v>
      </c>
      <c r="G62" s="329" t="s">
        <v>14</v>
      </c>
      <c r="H62" s="618">
        <f>H60</f>
        <v>0</v>
      </c>
      <c r="I62" s="329" t="s">
        <v>6</v>
      </c>
      <c r="J62" s="331">
        <f>J60</f>
        <v>0</v>
      </c>
      <c r="K62" s="329" t="s">
        <v>365</v>
      </c>
      <c r="L62" s="329"/>
      <c r="M62" s="321"/>
    </row>
    <row r="63" spans="1:13" s="8" customFormat="1" ht="21" x14ac:dyDescent="0.4">
      <c r="A63" s="777"/>
      <c r="B63" s="832"/>
      <c r="C63" s="833"/>
      <c r="D63" s="833"/>
      <c r="E63" s="324"/>
      <c r="F63" s="328"/>
      <c r="G63" s="329"/>
      <c r="H63" s="618"/>
      <c r="I63" s="329"/>
      <c r="J63" s="331"/>
      <c r="K63" s="329"/>
      <c r="L63" s="329"/>
      <c r="M63" s="321"/>
    </row>
    <row r="64" spans="1:13" s="8" customFormat="1" ht="21" customHeight="1" x14ac:dyDescent="0.4">
      <c r="A64" s="777"/>
      <c r="B64" s="932" t="s">
        <v>268</v>
      </c>
      <c r="C64" s="933"/>
      <c r="D64" s="933"/>
      <c r="E64" s="324"/>
      <c r="F64" s="328">
        <f>F28+F57+F62</f>
        <v>0</v>
      </c>
      <c r="G64" s="329" t="s">
        <v>14</v>
      </c>
      <c r="H64" s="705">
        <f>H28+H57+H62</f>
        <v>0</v>
      </c>
      <c r="I64" s="329" t="s">
        <v>6</v>
      </c>
      <c r="J64" s="328">
        <f>J28+J57+J62</f>
        <v>0</v>
      </c>
      <c r="K64" s="329" t="s">
        <v>365</v>
      </c>
      <c r="L64" s="329"/>
      <c r="M64" s="321"/>
    </row>
    <row r="65" spans="1:21" s="8" customFormat="1" ht="21" x14ac:dyDescent="0.4">
      <c r="A65" s="777"/>
      <c r="B65" s="832"/>
      <c r="C65" s="833"/>
      <c r="D65" s="833"/>
      <c r="E65" s="324"/>
      <c r="F65" s="328"/>
      <c r="G65" s="329"/>
      <c r="H65" s="330"/>
      <c r="I65" s="329"/>
      <c r="J65" s="331"/>
      <c r="K65" s="329"/>
      <c r="L65" s="329"/>
      <c r="M65" s="321"/>
    </row>
    <row r="66" spans="1:21" s="8" customFormat="1" ht="21.6" customHeight="1" thickBot="1" x14ac:dyDescent="0.45">
      <c r="A66" s="777"/>
      <c r="B66" s="936" t="s">
        <v>269</v>
      </c>
      <c r="C66" s="937"/>
      <c r="D66" s="937"/>
      <c r="E66" s="315"/>
      <c r="F66" s="355">
        <f>F11-F28-F57-F62</f>
        <v>0</v>
      </c>
      <c r="G66" s="356" t="s">
        <v>14</v>
      </c>
      <c r="H66" s="621">
        <f>H11-H28-H57-H62</f>
        <v>0</v>
      </c>
      <c r="I66" s="356" t="s">
        <v>6</v>
      </c>
      <c r="J66" s="355">
        <f>J11-J28-J57-J62</f>
        <v>0</v>
      </c>
      <c r="K66" s="329" t="s">
        <v>365</v>
      </c>
      <c r="L66" s="356"/>
      <c r="M66" s="316"/>
    </row>
    <row r="67" spans="1:21" s="8" customFormat="1" ht="21" x14ac:dyDescent="0.4">
      <c r="A67" s="777"/>
      <c r="B67" s="76"/>
      <c r="C67"/>
      <c r="D67"/>
      <c r="E67"/>
      <c r="F67"/>
      <c r="G67"/>
      <c r="H67"/>
      <c r="I67"/>
      <c r="J67"/>
      <c r="K67"/>
      <c r="L67"/>
      <c r="M67"/>
    </row>
    <row r="68" spans="1:21" s="239" customFormat="1" ht="16.2" thickBot="1" x14ac:dyDescent="0.35">
      <c r="A68" s="781"/>
      <c r="B68"/>
      <c r="C68"/>
      <c r="D68"/>
      <c r="E68"/>
      <c r="F68"/>
      <c r="G68"/>
      <c r="H68"/>
      <c r="I68"/>
      <c r="J68"/>
      <c r="K68"/>
      <c r="L68"/>
      <c r="M68"/>
      <c r="N68" s="8"/>
      <c r="O68" s="8"/>
      <c r="P68" s="8"/>
      <c r="Q68" s="8"/>
      <c r="R68" s="8"/>
      <c r="S68" s="8"/>
      <c r="T68" s="8"/>
      <c r="U68" s="8"/>
    </row>
    <row r="69" spans="1:21" s="8" customFormat="1" ht="21.6" thickBot="1" x14ac:dyDescent="0.45">
      <c r="A69" s="777"/>
      <c r="B69" s="953" t="s">
        <v>270</v>
      </c>
      <c r="C69" s="954"/>
      <c r="D69" s="954"/>
      <c r="E69" s="955"/>
      <c r="F69"/>
      <c r="G69"/>
      <c r="H69"/>
      <c r="I69"/>
      <c r="J69"/>
      <c r="K69"/>
      <c r="L69" s="956" t="s">
        <v>271</v>
      </c>
      <c r="M69" s="956"/>
    </row>
    <row r="70" spans="1:21" s="8" customFormat="1" ht="21" x14ac:dyDescent="0.4">
      <c r="A70" s="777"/>
      <c r="B70" s="758"/>
      <c r="C70" s="758"/>
      <c r="D70" s="758"/>
      <c r="E70" s="758"/>
      <c r="F70" s="534"/>
      <c r="G70" s="534"/>
      <c r="H70" s="534"/>
      <c r="I70" s="534"/>
      <c r="J70" s="534"/>
      <c r="K70" s="534"/>
      <c r="L70" s="761"/>
      <c r="M70" s="761"/>
    </row>
    <row r="71" spans="1:21" ht="15.6" x14ac:dyDescent="0.3">
      <c r="B71" s="113" t="s">
        <v>272</v>
      </c>
      <c r="C71" s="65"/>
      <c r="D71" s="65"/>
      <c r="E71" s="65"/>
      <c r="F71" s="959" t="s">
        <v>159</v>
      </c>
      <c r="G71" s="959"/>
      <c r="H71" s="959" t="s">
        <v>158</v>
      </c>
      <c r="I71" s="959"/>
      <c r="J71" s="959" t="s">
        <v>273</v>
      </c>
      <c r="K71" s="959"/>
      <c r="L71" s="143" t="s">
        <v>274</v>
      </c>
      <c r="M71" s="67"/>
    </row>
    <row r="72" spans="1:21" ht="13.8" thickBot="1" x14ac:dyDescent="0.3">
      <c r="B72" s="69"/>
      <c r="C72" s="65"/>
      <c r="D72" s="65"/>
      <c r="E72" s="65"/>
      <c r="F72" s="65"/>
      <c r="G72" s="65"/>
      <c r="H72" s="65"/>
      <c r="I72" s="65"/>
      <c r="J72" s="67"/>
      <c r="K72" s="67"/>
      <c r="L72" s="67"/>
      <c r="M72" s="67"/>
    </row>
    <row r="73" spans="1:21" ht="13.8" thickBot="1" x14ac:dyDescent="0.3">
      <c r="B73" s="65"/>
      <c r="C73" s="66" t="s">
        <v>202</v>
      </c>
      <c r="D73" s="67"/>
      <c r="E73" s="65"/>
      <c r="F73" s="96">
        <v>1000000</v>
      </c>
      <c r="G73" s="65" t="s">
        <v>327</v>
      </c>
      <c r="H73" s="96">
        <v>6.9999999999999999E-4</v>
      </c>
      <c r="I73" s="70" t="s">
        <v>152</v>
      </c>
      <c r="J73" s="235">
        <f>F73*H73</f>
        <v>700</v>
      </c>
      <c r="K73" s="65" t="s">
        <v>14</v>
      </c>
      <c r="L73" s="65"/>
      <c r="M73" s="67"/>
    </row>
    <row r="74" spans="1:21" s="8" customFormat="1" x14ac:dyDescent="0.25">
      <c r="A74" s="777"/>
      <c r="B74" s="71"/>
      <c r="C74" s="71" t="s">
        <v>196</v>
      </c>
      <c r="D74" s="572"/>
      <c r="E74" s="71"/>
      <c r="F74" s="277"/>
      <c r="G74" s="573"/>
      <c r="H74" s="574"/>
      <c r="I74" s="279"/>
      <c r="J74" s="280"/>
      <c r="K74" s="71"/>
      <c r="L74" s="71"/>
      <c r="M74" s="71"/>
    </row>
    <row r="75" spans="1:21" x14ac:dyDescent="0.25">
      <c r="B75" s="535"/>
      <c r="C75" s="535"/>
      <c r="D75" s="569"/>
      <c r="E75" s="535"/>
      <c r="F75" s="570"/>
      <c r="G75" s="535"/>
      <c r="H75" s="307"/>
      <c r="I75" s="537"/>
      <c r="J75" s="571"/>
      <c r="K75" s="535"/>
      <c r="L75" s="534"/>
      <c r="M75" s="534"/>
    </row>
    <row r="76" spans="1:21" s="8" customFormat="1" ht="15.6" x14ac:dyDescent="0.3">
      <c r="A76" s="777"/>
      <c r="B76" s="120" t="s">
        <v>59</v>
      </c>
      <c r="C76" s="121"/>
      <c r="D76" s="121"/>
      <c r="E76" s="121"/>
      <c r="F76" s="960" t="s">
        <v>159</v>
      </c>
      <c r="G76" s="960"/>
      <c r="H76" s="960" t="s">
        <v>158</v>
      </c>
      <c r="I76" s="960"/>
      <c r="J76" s="960" t="s">
        <v>273</v>
      </c>
      <c r="K76" s="960"/>
      <c r="L76" s="123"/>
      <c r="M76" s="123"/>
    </row>
    <row r="77" spans="1:21" s="77" customFormat="1" ht="18" thickBot="1" x14ac:dyDescent="0.35">
      <c r="A77" s="779"/>
      <c r="B77" s="121"/>
      <c r="C77" s="121"/>
      <c r="D77" s="121"/>
      <c r="E77" s="121"/>
      <c r="F77" s="121"/>
      <c r="G77" s="121"/>
      <c r="H77" s="122"/>
      <c r="I77" s="122"/>
      <c r="J77" s="123"/>
      <c r="K77" s="123"/>
      <c r="L77" s="123"/>
      <c r="M77" s="123"/>
      <c r="N77" s="8"/>
      <c r="O77" s="8"/>
      <c r="P77" s="8"/>
      <c r="Q77" s="8"/>
      <c r="R77" s="8"/>
      <c r="S77" s="8"/>
      <c r="T77" s="8"/>
      <c r="U77" s="8"/>
    </row>
    <row r="78" spans="1:21" s="91" customFormat="1" ht="15.6" thickBot="1" x14ac:dyDescent="0.3">
      <c r="A78" s="778"/>
      <c r="B78" s="121"/>
      <c r="C78" s="121" t="s">
        <v>276</v>
      </c>
      <c r="D78" s="123"/>
      <c r="E78" s="121"/>
      <c r="F78" s="118">
        <v>600</v>
      </c>
      <c r="G78" s="121" t="s">
        <v>21</v>
      </c>
      <c r="H78" s="99">
        <v>0.75</v>
      </c>
      <c r="I78" s="122" t="s">
        <v>6</v>
      </c>
      <c r="J78" s="124">
        <f>F78*H78</f>
        <v>450</v>
      </c>
      <c r="K78" s="121" t="s">
        <v>14</v>
      </c>
      <c r="L78" s="123"/>
      <c r="M78" s="123"/>
      <c r="N78" s="8"/>
      <c r="O78" s="8"/>
      <c r="P78" s="8"/>
      <c r="Q78" s="8"/>
      <c r="R78" s="8"/>
      <c r="S78" s="8"/>
      <c r="T78" s="8"/>
      <c r="U78" s="8"/>
    </row>
    <row r="79" spans="1:21" s="8" customFormat="1" ht="18" thickBot="1" x14ac:dyDescent="0.35">
      <c r="A79" s="777"/>
      <c r="B79" s="121"/>
      <c r="C79" s="121" t="s">
        <v>277</v>
      </c>
      <c r="D79" s="123"/>
      <c r="E79" s="121"/>
      <c r="F79" s="118">
        <v>200</v>
      </c>
      <c r="G79" s="121" t="s">
        <v>21</v>
      </c>
      <c r="H79" s="99">
        <v>0.59</v>
      </c>
      <c r="I79" s="122" t="s">
        <v>6</v>
      </c>
      <c r="J79" s="124">
        <f t="shared" ref="J79:J83" si="8">F79*H79</f>
        <v>118</v>
      </c>
      <c r="K79" s="121" t="s">
        <v>14</v>
      </c>
      <c r="L79" s="123"/>
      <c r="M79" s="123"/>
      <c r="N79" s="77"/>
      <c r="O79" s="77"/>
      <c r="P79" s="77"/>
      <c r="Q79" s="77"/>
      <c r="R79" s="77"/>
      <c r="S79" s="77"/>
      <c r="T79" s="77"/>
      <c r="U79" s="77"/>
    </row>
    <row r="80" spans="1:21" s="77" customFormat="1" ht="18" thickBot="1" x14ac:dyDescent="0.35">
      <c r="A80" s="779"/>
      <c r="B80" s="121"/>
      <c r="C80" s="121" t="s">
        <v>278</v>
      </c>
      <c r="D80" s="123"/>
      <c r="E80" s="121"/>
      <c r="F80" s="96">
        <v>200</v>
      </c>
      <c r="G80" s="121" t="s">
        <v>21</v>
      </c>
      <c r="H80" s="99">
        <v>0.4</v>
      </c>
      <c r="I80" s="122" t="s">
        <v>6</v>
      </c>
      <c r="J80" s="124">
        <f t="shared" si="8"/>
        <v>80</v>
      </c>
      <c r="K80" s="121" t="s">
        <v>14</v>
      </c>
      <c r="L80" s="123"/>
      <c r="M80" s="123"/>
      <c r="N80" s="91"/>
      <c r="O80" s="91"/>
      <c r="P80" s="91"/>
      <c r="Q80" s="91"/>
      <c r="R80" s="91"/>
      <c r="S80" s="91"/>
      <c r="T80" s="91"/>
      <c r="U80" s="91"/>
    </row>
    <row r="81" spans="1:21" s="91" customFormat="1" ht="15.6" thickBot="1" x14ac:dyDescent="0.3">
      <c r="A81" s="778"/>
      <c r="B81" s="121"/>
      <c r="C81" s="121" t="s">
        <v>279</v>
      </c>
      <c r="D81" s="123"/>
      <c r="E81" s="121"/>
      <c r="F81" s="96">
        <v>1400</v>
      </c>
      <c r="G81" s="121" t="s">
        <v>21</v>
      </c>
      <c r="H81" s="99">
        <v>0.46</v>
      </c>
      <c r="I81" s="122" t="s">
        <v>6</v>
      </c>
      <c r="J81" s="124">
        <f t="shared" si="8"/>
        <v>644</v>
      </c>
      <c r="K81" s="121" t="s">
        <v>14</v>
      </c>
      <c r="L81" s="123"/>
      <c r="M81" s="123"/>
      <c r="N81" s="8"/>
      <c r="O81" s="8"/>
      <c r="P81" s="8"/>
      <c r="Q81" s="8"/>
      <c r="R81" s="8"/>
      <c r="S81" s="8"/>
      <c r="T81" s="8"/>
      <c r="U81" s="8"/>
    </row>
    <row r="82" spans="1:21" s="77" customFormat="1" ht="18" thickBot="1" x14ac:dyDescent="0.35">
      <c r="A82" s="779"/>
      <c r="B82" s="121"/>
      <c r="C82" s="121" t="s">
        <v>280</v>
      </c>
      <c r="D82" s="121"/>
      <c r="E82" s="121"/>
      <c r="F82" s="96"/>
      <c r="G82" s="121" t="s">
        <v>21</v>
      </c>
      <c r="H82" s="99"/>
      <c r="I82" s="122" t="s">
        <v>6</v>
      </c>
      <c r="J82" s="124">
        <f t="shared" si="8"/>
        <v>0</v>
      </c>
      <c r="K82" s="121" t="s">
        <v>14</v>
      </c>
      <c r="L82" s="123"/>
      <c r="M82" s="123"/>
    </row>
    <row r="83" spans="1:21" ht="15.6" thickBot="1" x14ac:dyDescent="0.3">
      <c r="B83" s="121"/>
      <c r="C83" s="121" t="s">
        <v>280</v>
      </c>
      <c r="D83" s="121"/>
      <c r="E83" s="121"/>
      <c r="F83" s="96"/>
      <c r="G83" s="121" t="s">
        <v>21</v>
      </c>
      <c r="H83" s="99"/>
      <c r="I83" s="122" t="s">
        <v>6</v>
      </c>
      <c r="J83" s="124">
        <f t="shared" si="8"/>
        <v>0</v>
      </c>
      <c r="K83" s="121" t="s">
        <v>14</v>
      </c>
      <c r="L83" s="123"/>
      <c r="M83" s="123"/>
      <c r="N83" s="91"/>
      <c r="O83" s="91"/>
      <c r="P83" s="91"/>
      <c r="Q83" s="91"/>
      <c r="R83" s="91"/>
      <c r="S83" s="91"/>
      <c r="T83" s="91"/>
      <c r="U83" s="91"/>
    </row>
    <row r="84" spans="1:21" s="91" customFormat="1" ht="17.399999999999999" x14ac:dyDescent="0.3">
      <c r="A84" s="778"/>
      <c r="B84" s="270"/>
      <c r="C84" s="270" t="s">
        <v>222</v>
      </c>
      <c r="D84" s="270"/>
      <c r="E84" s="270"/>
      <c r="F84" s="270"/>
      <c r="G84" s="270"/>
      <c r="H84" s="270"/>
      <c r="I84" s="271"/>
      <c r="J84" s="272">
        <f>SUM(J78:J83)</f>
        <v>1292</v>
      </c>
      <c r="K84" s="270" t="s">
        <v>14</v>
      </c>
      <c r="L84" s="270"/>
      <c r="M84" s="270"/>
      <c r="N84" s="77"/>
      <c r="O84" s="77"/>
      <c r="P84" s="77"/>
      <c r="Q84" s="77"/>
      <c r="R84" s="77"/>
      <c r="S84" s="77"/>
      <c r="T84" s="77"/>
      <c r="U84" s="77"/>
    </row>
    <row r="85" spans="1:21" s="8" customFormat="1" x14ac:dyDescent="0.25">
      <c r="A85" s="777"/>
      <c r="B85" s="121"/>
      <c r="C85" s="121"/>
      <c r="D85" s="121"/>
      <c r="E85" s="121"/>
      <c r="F85" s="121"/>
      <c r="G85" s="121"/>
      <c r="H85" s="121"/>
      <c r="I85" s="122"/>
      <c r="J85" s="124"/>
      <c r="K85" s="121"/>
      <c r="L85" s="123"/>
      <c r="M85" s="123"/>
      <c r="N85"/>
      <c r="O85"/>
      <c r="P85"/>
      <c r="Q85"/>
      <c r="R85"/>
      <c r="S85"/>
      <c r="T85"/>
      <c r="U85"/>
    </row>
    <row r="86" spans="1:21" s="8" customFormat="1" ht="15" x14ac:dyDescent="0.25">
      <c r="A86" s="777"/>
      <c r="B86"/>
      <c r="C86"/>
      <c r="D86"/>
      <c r="E86"/>
      <c r="F86"/>
      <c r="G86"/>
      <c r="H86"/>
      <c r="I86"/>
      <c r="J86"/>
      <c r="K86"/>
      <c r="L86"/>
      <c r="M86"/>
      <c r="N86" s="91"/>
      <c r="O86" s="91"/>
      <c r="P86" s="91"/>
      <c r="Q86" s="91"/>
      <c r="R86" s="91"/>
      <c r="S86" s="91"/>
      <c r="T86" s="91"/>
      <c r="U86" s="91"/>
    </row>
    <row r="87" spans="1:21" s="8" customFormat="1" ht="15.6" x14ac:dyDescent="0.3">
      <c r="A87" s="777"/>
      <c r="B87" s="109" t="s">
        <v>282</v>
      </c>
      <c r="C87" s="72"/>
      <c r="D87" s="72"/>
      <c r="E87" s="72"/>
      <c r="F87" s="957" t="s">
        <v>159</v>
      </c>
      <c r="G87" s="957"/>
      <c r="H87" s="958" t="s">
        <v>158</v>
      </c>
      <c r="I87" s="958"/>
      <c r="J87" s="957" t="s">
        <v>273</v>
      </c>
      <c r="K87" s="957"/>
      <c r="L87" s="79"/>
      <c r="M87" s="79"/>
    </row>
    <row r="88" spans="1:21" x14ac:dyDescent="0.25">
      <c r="B88" s="72"/>
      <c r="C88" s="72"/>
      <c r="D88" s="72"/>
      <c r="E88" s="72"/>
      <c r="F88" s="74"/>
      <c r="G88" s="74"/>
      <c r="H88" s="73"/>
      <c r="I88" s="73"/>
      <c r="J88" s="73"/>
      <c r="K88" s="79"/>
      <c r="L88" s="79"/>
      <c r="M88" s="79"/>
      <c r="N88" s="8"/>
      <c r="O88" s="8"/>
      <c r="P88" s="8"/>
      <c r="Q88" s="8"/>
      <c r="R88" s="8"/>
      <c r="S88" s="8"/>
      <c r="T88" s="8"/>
      <c r="U88" s="8"/>
    </row>
    <row r="89" spans="1:21" ht="15.6" x14ac:dyDescent="0.3">
      <c r="B89" s="109"/>
      <c r="C89" s="72"/>
      <c r="D89" s="462" t="s">
        <v>364</v>
      </c>
      <c r="E89" s="72"/>
      <c r="F89" s="836"/>
      <c r="G89" s="836"/>
      <c r="H89" s="837"/>
      <c r="I89" s="837"/>
      <c r="J89" s="836"/>
      <c r="K89" s="836"/>
      <c r="L89" s="79"/>
      <c r="M89" s="79"/>
    </row>
    <row r="90" spans="1:21" ht="13.8" thickBot="1" x14ac:dyDescent="0.3">
      <c r="B90" s="214" t="s">
        <v>357</v>
      </c>
      <c r="C90" s="72"/>
      <c r="D90" s="72"/>
      <c r="E90" s="72"/>
      <c r="F90" s="74"/>
      <c r="G90" s="74"/>
      <c r="H90" s="73"/>
      <c r="I90" s="73"/>
      <c r="J90" s="79"/>
      <c r="K90" s="79"/>
      <c r="L90" s="79"/>
      <c r="M90" s="79"/>
    </row>
    <row r="91" spans="1:21" ht="13.8" thickBot="1" x14ac:dyDescent="0.3">
      <c r="B91" s="72"/>
      <c r="C91" s="72" t="s">
        <v>60</v>
      </c>
      <c r="D91" s="79"/>
      <c r="E91" s="72"/>
      <c r="F91" s="119">
        <v>3</v>
      </c>
      <c r="G91" s="74" t="s">
        <v>20</v>
      </c>
      <c r="H91" s="99">
        <v>26.8</v>
      </c>
      <c r="I91" s="73" t="s">
        <v>5</v>
      </c>
      <c r="J91" s="79">
        <f>F91*H91</f>
        <v>80.400000000000006</v>
      </c>
      <c r="K91" s="72" t="s">
        <v>14</v>
      </c>
      <c r="L91" s="79"/>
      <c r="M91" s="79"/>
    </row>
    <row r="92" spans="1:21" ht="13.8" thickBot="1" x14ac:dyDescent="0.3">
      <c r="B92" s="72"/>
      <c r="C92" s="72" t="s">
        <v>64</v>
      </c>
      <c r="D92" s="79"/>
      <c r="E92" s="72"/>
      <c r="F92" s="119">
        <v>0.2</v>
      </c>
      <c r="G92" s="74" t="s">
        <v>21</v>
      </c>
      <c r="H92" s="99">
        <v>47.45</v>
      </c>
      <c r="I92" s="73" t="s">
        <v>6</v>
      </c>
      <c r="J92" s="79">
        <f t="shared" ref="J92:J97" si="9">F92*H92</f>
        <v>9.49</v>
      </c>
      <c r="K92" s="72" t="s">
        <v>14</v>
      </c>
      <c r="L92" s="79"/>
      <c r="M92" s="79"/>
    </row>
    <row r="93" spans="1:21" ht="13.8" thickBot="1" x14ac:dyDescent="0.3">
      <c r="B93" s="72"/>
      <c r="C93" s="72" t="s">
        <v>65</v>
      </c>
      <c r="D93" s="79"/>
      <c r="E93" s="72"/>
      <c r="F93" s="119">
        <v>1</v>
      </c>
      <c r="G93" s="74" t="s">
        <v>20</v>
      </c>
      <c r="H93" s="99">
        <v>46.47</v>
      </c>
      <c r="I93" s="73" t="s">
        <v>5</v>
      </c>
      <c r="J93" s="79">
        <f t="shared" si="9"/>
        <v>46.47</v>
      </c>
      <c r="K93" s="72" t="s">
        <v>14</v>
      </c>
      <c r="L93" s="79"/>
      <c r="M93" s="79"/>
    </row>
    <row r="94" spans="1:21" ht="13.8" thickBot="1" x14ac:dyDescent="0.3">
      <c r="B94" s="72"/>
      <c r="C94" s="72" t="s">
        <v>66</v>
      </c>
      <c r="D94" s="79"/>
      <c r="E94" s="72"/>
      <c r="F94" s="119">
        <v>0.6</v>
      </c>
      <c r="G94" s="74" t="s">
        <v>20</v>
      </c>
      <c r="H94" s="99">
        <v>20.48</v>
      </c>
      <c r="I94" s="73" t="s">
        <v>5</v>
      </c>
      <c r="J94" s="568">
        <f t="shared" si="9"/>
        <v>12.288</v>
      </c>
      <c r="K94" s="72" t="s">
        <v>14</v>
      </c>
      <c r="L94" s="79"/>
      <c r="M94" s="79"/>
    </row>
    <row r="95" spans="1:21" ht="13.8" thickBot="1" x14ac:dyDescent="0.3">
      <c r="B95" s="72"/>
      <c r="C95" s="72" t="s">
        <v>326</v>
      </c>
      <c r="D95" s="79"/>
      <c r="E95" s="72"/>
      <c r="F95" s="119"/>
      <c r="G95" s="74" t="s">
        <v>20</v>
      </c>
      <c r="H95" s="99"/>
      <c r="I95" s="73" t="s">
        <v>5</v>
      </c>
      <c r="J95" s="79">
        <f t="shared" si="9"/>
        <v>0</v>
      </c>
      <c r="K95" s="72" t="s">
        <v>14</v>
      </c>
      <c r="L95" s="79"/>
      <c r="M95" s="79"/>
    </row>
    <row r="96" spans="1:21" ht="13.8" thickBot="1" x14ac:dyDescent="0.3">
      <c r="B96" s="72"/>
      <c r="C96" s="72" t="s">
        <v>326</v>
      </c>
      <c r="D96" s="72"/>
      <c r="E96" s="72"/>
      <c r="F96" s="119"/>
      <c r="G96" s="74" t="s">
        <v>20</v>
      </c>
      <c r="H96" s="99"/>
      <c r="I96" s="73" t="s">
        <v>5</v>
      </c>
      <c r="J96" s="79">
        <f t="shared" si="9"/>
        <v>0</v>
      </c>
      <c r="K96" s="72" t="s">
        <v>14</v>
      </c>
      <c r="L96" s="79"/>
      <c r="M96" s="79"/>
    </row>
    <row r="97" spans="1:15" ht="13.8" thickBot="1" x14ac:dyDescent="0.3">
      <c r="B97" s="72"/>
      <c r="C97" s="72" t="s">
        <v>326</v>
      </c>
      <c r="D97" s="72"/>
      <c r="E97" s="72"/>
      <c r="F97" s="119"/>
      <c r="G97" s="74" t="s">
        <v>20</v>
      </c>
      <c r="H97" s="99"/>
      <c r="I97" s="73" t="s">
        <v>5</v>
      </c>
      <c r="J97" s="79">
        <f t="shared" si="9"/>
        <v>0</v>
      </c>
      <c r="K97" s="72" t="s">
        <v>14</v>
      </c>
      <c r="L97" s="79"/>
      <c r="M97" s="79"/>
    </row>
    <row r="98" spans="1:15" x14ac:dyDescent="0.25">
      <c r="B98" s="72"/>
      <c r="C98" s="72"/>
      <c r="D98" s="72"/>
      <c r="E98" s="72"/>
      <c r="F98" s="212"/>
      <c r="G98" s="74"/>
      <c r="H98" s="213"/>
      <c r="I98" s="73"/>
      <c r="J98" s="79"/>
      <c r="K98" s="72"/>
      <c r="L98" s="79"/>
      <c r="M98" s="79"/>
    </row>
    <row r="99" spans="1:15" ht="13.8" thickBot="1" x14ac:dyDescent="0.3">
      <c r="B99" s="214" t="s">
        <v>358</v>
      </c>
      <c r="C99" s="72"/>
      <c r="D99" s="72"/>
      <c r="E99" s="72"/>
      <c r="F99" s="212"/>
      <c r="G99" s="74"/>
      <c r="H99" s="213"/>
      <c r="I99" s="73"/>
      <c r="J99" s="79"/>
      <c r="K99" s="72"/>
      <c r="L99" s="79"/>
      <c r="M99" s="79"/>
    </row>
    <row r="100" spans="1:15" ht="13.8" thickBot="1" x14ac:dyDescent="0.3">
      <c r="B100" s="72"/>
      <c r="C100" s="72" t="s">
        <v>61</v>
      </c>
      <c r="D100" s="72"/>
      <c r="E100" s="72"/>
      <c r="F100" s="119">
        <v>5</v>
      </c>
      <c r="G100" s="74" t="s">
        <v>62</v>
      </c>
      <c r="H100" s="119">
        <v>13</v>
      </c>
      <c r="I100" s="73" t="s">
        <v>63</v>
      </c>
      <c r="J100" s="79">
        <f t="shared" ref="J100:J104" si="10">F100*H100</f>
        <v>65</v>
      </c>
      <c r="K100" s="72" t="s">
        <v>14</v>
      </c>
      <c r="L100" s="79"/>
      <c r="M100" s="79"/>
    </row>
    <row r="101" spans="1:15" ht="13.8" thickBot="1" x14ac:dyDescent="0.3">
      <c r="B101" s="72"/>
      <c r="C101" s="72" t="s">
        <v>326</v>
      </c>
      <c r="D101" s="72"/>
      <c r="E101" s="72"/>
      <c r="F101" s="119"/>
      <c r="G101" s="74" t="s">
        <v>20</v>
      </c>
      <c r="H101" s="119"/>
      <c r="I101" s="73" t="s">
        <v>5</v>
      </c>
      <c r="J101" s="79">
        <f t="shared" si="10"/>
        <v>0</v>
      </c>
      <c r="K101" s="72" t="s">
        <v>14</v>
      </c>
      <c r="L101" s="79"/>
      <c r="M101" s="79"/>
    </row>
    <row r="102" spans="1:15" ht="13.8" thickBot="1" x14ac:dyDescent="0.3">
      <c r="B102" s="72"/>
      <c r="C102" s="72" t="s">
        <v>326</v>
      </c>
      <c r="D102" s="72"/>
      <c r="E102" s="72"/>
      <c r="F102" s="119"/>
      <c r="G102" s="74" t="s">
        <v>20</v>
      </c>
      <c r="H102" s="119"/>
      <c r="I102" s="73" t="s">
        <v>5</v>
      </c>
      <c r="J102" s="79">
        <f t="shared" si="10"/>
        <v>0</v>
      </c>
      <c r="K102" s="72" t="s">
        <v>14</v>
      </c>
      <c r="L102" s="79"/>
      <c r="M102" s="79"/>
    </row>
    <row r="103" spans="1:15" ht="13.8" thickBot="1" x14ac:dyDescent="0.3">
      <c r="B103" s="72"/>
      <c r="C103" s="72" t="s">
        <v>326</v>
      </c>
      <c r="D103" s="72"/>
      <c r="E103" s="72"/>
      <c r="F103" s="119"/>
      <c r="G103" s="74" t="s">
        <v>20</v>
      </c>
      <c r="H103" s="119"/>
      <c r="I103" s="73" t="s">
        <v>5</v>
      </c>
      <c r="J103" s="79">
        <f t="shared" si="10"/>
        <v>0</v>
      </c>
      <c r="K103" s="72" t="s">
        <v>14</v>
      </c>
      <c r="L103" s="79"/>
      <c r="M103" s="79"/>
    </row>
    <row r="104" spans="1:15" ht="13.8" thickBot="1" x14ac:dyDescent="0.3">
      <c r="B104" s="72"/>
      <c r="C104" s="72" t="s">
        <v>326</v>
      </c>
      <c r="D104" s="72"/>
      <c r="E104" s="72"/>
      <c r="F104" s="119"/>
      <c r="G104" s="74" t="s">
        <v>20</v>
      </c>
      <c r="H104" s="119"/>
      <c r="I104" s="73" t="s">
        <v>5</v>
      </c>
      <c r="J104" s="79">
        <f t="shared" si="10"/>
        <v>0</v>
      </c>
      <c r="K104" s="72" t="s">
        <v>14</v>
      </c>
      <c r="L104" s="79"/>
      <c r="M104" s="79"/>
    </row>
    <row r="105" spans="1:15" s="8" customFormat="1" x14ac:dyDescent="0.25">
      <c r="A105" s="777"/>
      <c r="B105" s="241"/>
      <c r="C105" s="241" t="s">
        <v>196</v>
      </c>
      <c r="D105" s="241"/>
      <c r="E105" s="241"/>
      <c r="F105" s="273"/>
      <c r="G105" s="242"/>
      <c r="H105" s="273"/>
      <c r="I105" s="243"/>
      <c r="J105" s="243">
        <f>SUM(J91:J104)</f>
        <v>213.64800000000002</v>
      </c>
      <c r="K105" s="241" t="s">
        <v>14</v>
      </c>
      <c r="L105" s="241"/>
      <c r="M105" s="241"/>
    </row>
    <row r="106" spans="1:15" x14ac:dyDescent="0.25">
      <c r="B106" s="72"/>
      <c r="C106" s="72"/>
      <c r="D106" s="72"/>
      <c r="E106" s="72"/>
      <c r="F106" s="74"/>
      <c r="G106" s="74"/>
      <c r="H106" s="73"/>
      <c r="I106" s="73"/>
      <c r="J106" s="79"/>
      <c r="K106" s="72"/>
      <c r="L106" s="79"/>
      <c r="M106" s="79"/>
    </row>
    <row r="107" spans="1:15" x14ac:dyDescent="0.25">
      <c r="A107" s="782"/>
      <c r="N107" s="5"/>
      <c r="O107" s="5"/>
    </row>
    <row r="108" spans="1:15" ht="15.6" x14ac:dyDescent="0.3">
      <c r="A108" s="782"/>
      <c r="B108" s="110" t="s">
        <v>285</v>
      </c>
      <c r="C108" s="82"/>
      <c r="D108" s="82"/>
      <c r="E108" s="82"/>
      <c r="F108" s="965" t="s">
        <v>159</v>
      </c>
      <c r="G108" s="965"/>
      <c r="H108" s="965" t="s">
        <v>158</v>
      </c>
      <c r="I108" s="965"/>
      <c r="J108" s="965" t="s">
        <v>273</v>
      </c>
      <c r="K108" s="965"/>
      <c r="L108" s="84"/>
      <c r="M108" s="84"/>
      <c r="N108" s="5"/>
      <c r="O108" s="5"/>
    </row>
    <row r="109" spans="1:15" ht="13.8" thickBot="1" x14ac:dyDescent="0.3">
      <c r="A109" s="782"/>
      <c r="B109" s="82"/>
      <c r="C109" s="82"/>
      <c r="D109" s="82"/>
      <c r="E109" s="82"/>
      <c r="F109" s="82"/>
      <c r="G109" s="82"/>
      <c r="H109" s="83"/>
      <c r="I109" s="83"/>
      <c r="J109" s="84"/>
      <c r="K109" s="84"/>
      <c r="L109" s="84"/>
      <c r="M109" s="84"/>
      <c r="N109" s="5"/>
      <c r="O109" s="5"/>
    </row>
    <row r="110" spans="1:15" ht="13.8" thickBot="1" x14ac:dyDescent="0.3">
      <c r="A110" s="782"/>
      <c r="B110" s="82"/>
      <c r="C110" s="82" t="s">
        <v>286</v>
      </c>
      <c r="D110" s="84"/>
      <c r="E110" s="82"/>
      <c r="F110" s="463">
        <f>S10*'Gårdens info'!$G$14/1</f>
        <v>0</v>
      </c>
      <c r="G110" s="82" t="s">
        <v>153</v>
      </c>
      <c r="H110" s="99">
        <v>0.01</v>
      </c>
      <c r="I110" s="83" t="s">
        <v>152</v>
      </c>
      <c r="J110" s="85">
        <f>F110*H110</f>
        <v>0</v>
      </c>
      <c r="K110" s="82" t="s">
        <v>14</v>
      </c>
      <c r="L110" s="84"/>
      <c r="M110" s="84"/>
      <c r="N110" s="5"/>
      <c r="O110" s="5"/>
    </row>
    <row r="111" spans="1:15" ht="13.8" thickBot="1" x14ac:dyDescent="0.3">
      <c r="A111" s="782"/>
      <c r="B111" s="82"/>
      <c r="C111" s="82" t="s">
        <v>287</v>
      </c>
      <c r="D111" s="84"/>
      <c r="E111" s="82"/>
      <c r="F111" s="463">
        <f>S11*'Gårdens info'!$G$14/1</f>
        <v>0</v>
      </c>
      <c r="G111" s="82" t="s">
        <v>153</v>
      </c>
      <c r="H111" s="99">
        <v>0.01</v>
      </c>
      <c r="I111" s="83" t="s">
        <v>152</v>
      </c>
      <c r="J111" s="85">
        <f t="shared" ref="J111:J117" si="11">F111*H111</f>
        <v>0</v>
      </c>
      <c r="K111" s="82" t="s">
        <v>14</v>
      </c>
      <c r="L111" s="84"/>
      <c r="M111" s="84"/>
      <c r="N111" s="5"/>
      <c r="O111" s="5"/>
    </row>
    <row r="112" spans="1:15" ht="13.8" thickBot="1" x14ac:dyDescent="0.3">
      <c r="A112" s="782"/>
      <c r="B112" s="82"/>
      <c r="C112" s="82" t="s">
        <v>288</v>
      </c>
      <c r="D112" s="84"/>
      <c r="E112" s="82"/>
      <c r="F112" s="463">
        <f>S12*'Gårdens info'!$G$14/1</f>
        <v>0</v>
      </c>
      <c r="G112" s="82" t="s">
        <v>153</v>
      </c>
      <c r="H112" s="99">
        <v>0.01</v>
      </c>
      <c r="I112" s="83" t="s">
        <v>152</v>
      </c>
      <c r="J112" s="85">
        <f t="shared" si="11"/>
        <v>0</v>
      </c>
      <c r="K112" s="82" t="s">
        <v>14</v>
      </c>
      <c r="L112" s="84"/>
      <c r="M112" s="84"/>
      <c r="N112" s="5"/>
      <c r="O112" s="5"/>
    </row>
    <row r="113" spans="1:21" ht="13.8" thickBot="1" x14ac:dyDescent="0.3">
      <c r="A113" s="782"/>
      <c r="B113" s="82"/>
      <c r="C113" s="82" t="s">
        <v>289</v>
      </c>
      <c r="D113" s="84"/>
      <c r="E113" s="82"/>
      <c r="F113" s="463">
        <f>S13*'Gårdens info'!$G$14/1</f>
        <v>0</v>
      </c>
      <c r="G113" s="82" t="s">
        <v>153</v>
      </c>
      <c r="H113" s="99">
        <v>0.05</v>
      </c>
      <c r="I113" s="83" t="s">
        <v>152</v>
      </c>
      <c r="J113" s="85">
        <f t="shared" si="11"/>
        <v>0</v>
      </c>
      <c r="K113" s="82" t="s">
        <v>14</v>
      </c>
      <c r="L113" s="84"/>
      <c r="M113" s="84"/>
      <c r="N113" s="5"/>
      <c r="O113" s="5"/>
    </row>
    <row r="114" spans="1:21" ht="13.8" thickBot="1" x14ac:dyDescent="0.3">
      <c r="A114" s="782"/>
      <c r="B114" s="82"/>
      <c r="C114" s="119" t="s">
        <v>290</v>
      </c>
      <c r="D114" s="99"/>
      <c r="E114" s="82" t="s">
        <v>21</v>
      </c>
      <c r="F114" s="463">
        <f>IF(S14&gt;0,S14*'Gårdens info'!$G$14/D114,0)</f>
        <v>0</v>
      </c>
      <c r="G114" s="82" t="s">
        <v>153</v>
      </c>
      <c r="H114" s="99"/>
      <c r="I114" s="83" t="s">
        <v>152</v>
      </c>
      <c r="J114" s="85">
        <f t="shared" ref="J114:J115" si="12">F114*H114</f>
        <v>0</v>
      </c>
      <c r="K114" s="82" t="s">
        <v>14</v>
      </c>
      <c r="L114" s="84"/>
      <c r="M114" s="84"/>
      <c r="N114" s="5"/>
      <c r="O114" s="5"/>
    </row>
    <row r="115" spans="1:21" ht="13.8" thickBot="1" x14ac:dyDescent="0.3">
      <c r="A115" s="782"/>
      <c r="B115" s="82"/>
      <c r="C115" s="119" t="s">
        <v>290</v>
      </c>
      <c r="D115" s="99"/>
      <c r="E115" s="82" t="s">
        <v>21</v>
      </c>
      <c r="F115" s="463">
        <f>IF(S15&gt;0,S15*'Gårdens info'!$G$14/D115,0)</f>
        <v>0</v>
      </c>
      <c r="G115" s="82" t="s">
        <v>153</v>
      </c>
      <c r="H115" s="99"/>
      <c r="I115" s="83" t="s">
        <v>152</v>
      </c>
      <c r="J115" s="85">
        <f t="shared" si="12"/>
        <v>0</v>
      </c>
      <c r="K115" s="82" t="s">
        <v>14</v>
      </c>
      <c r="L115" s="84"/>
      <c r="M115" s="84"/>
      <c r="N115" s="5"/>
      <c r="O115" s="5"/>
    </row>
    <row r="116" spans="1:21" ht="13.8" thickBot="1" x14ac:dyDescent="0.3">
      <c r="A116" s="782"/>
      <c r="B116" s="82"/>
      <c r="C116" s="119" t="s">
        <v>290</v>
      </c>
      <c r="D116" s="99"/>
      <c r="E116" s="82" t="s">
        <v>21</v>
      </c>
      <c r="F116" s="463">
        <f>IF(S16&gt;0,S16*'Gårdens info'!$G$14/D116,0)</f>
        <v>0</v>
      </c>
      <c r="G116" s="82" t="s">
        <v>153</v>
      </c>
      <c r="H116" s="99"/>
      <c r="I116" s="83" t="s">
        <v>152</v>
      </c>
      <c r="J116" s="85">
        <f t="shared" si="11"/>
        <v>0</v>
      </c>
      <c r="K116" s="82" t="s">
        <v>14</v>
      </c>
      <c r="L116" s="84"/>
      <c r="M116" s="84"/>
      <c r="N116" s="5"/>
      <c r="O116" s="5"/>
    </row>
    <row r="117" spans="1:21" ht="13.8" thickBot="1" x14ac:dyDescent="0.3">
      <c r="A117" s="782"/>
      <c r="B117" s="82"/>
      <c r="C117" s="119" t="s">
        <v>290</v>
      </c>
      <c r="D117" s="99"/>
      <c r="E117" s="82" t="s">
        <v>21</v>
      </c>
      <c r="F117" s="463">
        <f>IF(S17&gt;0,S17*'Gårdens info'!$G$14/D117,0)</f>
        <v>0</v>
      </c>
      <c r="G117" s="82" t="s">
        <v>153</v>
      </c>
      <c r="H117" s="99"/>
      <c r="I117" s="83" t="s">
        <v>152</v>
      </c>
      <c r="J117" s="85">
        <f t="shared" si="11"/>
        <v>0</v>
      </c>
      <c r="K117" s="82" t="s">
        <v>14</v>
      </c>
      <c r="L117" s="84"/>
      <c r="M117" s="84"/>
      <c r="N117" s="5"/>
      <c r="O117" s="5"/>
    </row>
    <row r="118" spans="1:21" x14ac:dyDescent="0.25">
      <c r="A118" s="782"/>
      <c r="B118" s="245"/>
      <c r="C118" s="245" t="s">
        <v>196</v>
      </c>
      <c r="D118" s="245"/>
      <c r="E118" s="245"/>
      <c r="F118" s="246"/>
      <c r="G118" s="245"/>
      <c r="H118" s="247"/>
      <c r="I118" s="248"/>
      <c r="J118" s="249">
        <f>SUM(J110:J117)</f>
        <v>0</v>
      </c>
      <c r="K118" s="245" t="s">
        <v>14</v>
      </c>
      <c r="L118" s="245"/>
      <c r="M118" s="245"/>
      <c r="N118" s="5"/>
      <c r="O118" s="5"/>
    </row>
    <row r="119" spans="1:21" x14ac:dyDescent="0.25">
      <c r="A119" s="782"/>
      <c r="B119" s="82"/>
      <c r="C119" s="82"/>
      <c r="D119" s="82"/>
      <c r="E119" s="82"/>
      <c r="F119" s="82"/>
      <c r="G119" s="82"/>
      <c r="H119" s="83"/>
      <c r="I119" s="83"/>
      <c r="J119" s="85"/>
      <c r="K119" s="82"/>
      <c r="L119" s="84"/>
      <c r="M119" s="84"/>
      <c r="N119" s="5"/>
      <c r="O119" s="5"/>
    </row>
    <row r="120" spans="1:21" x14ac:dyDescent="0.25">
      <c r="A120" s="782"/>
      <c r="N120" s="5"/>
      <c r="O120" s="5"/>
    </row>
    <row r="121" spans="1:21" s="8" customFormat="1" ht="15.6" x14ac:dyDescent="0.3">
      <c r="A121" s="783"/>
      <c r="B121" s="111" t="s">
        <v>291</v>
      </c>
      <c r="C121" s="87"/>
      <c r="D121" s="87"/>
      <c r="E121" s="87"/>
      <c r="F121" s="966" t="s">
        <v>159</v>
      </c>
      <c r="G121" s="966"/>
      <c r="H121" s="966" t="s">
        <v>158</v>
      </c>
      <c r="I121" s="966"/>
      <c r="J121" s="966" t="s">
        <v>273</v>
      </c>
      <c r="K121" s="966"/>
      <c r="L121" s="89"/>
      <c r="M121" s="89"/>
      <c r="N121" s="5"/>
      <c r="O121" s="5"/>
      <c r="P121"/>
      <c r="Q121"/>
      <c r="R121"/>
      <c r="S121"/>
      <c r="T121"/>
      <c r="U121"/>
    </row>
    <row r="122" spans="1:21" ht="13.8" thickBot="1" x14ac:dyDescent="0.3">
      <c r="A122" s="782"/>
      <c r="B122" s="87"/>
      <c r="C122" s="87"/>
      <c r="D122" s="87"/>
      <c r="E122" s="87"/>
      <c r="F122" s="87"/>
      <c r="G122" s="87"/>
      <c r="H122" s="88"/>
      <c r="I122" s="88"/>
      <c r="J122" s="89"/>
      <c r="K122" s="89"/>
      <c r="L122" s="89"/>
      <c r="M122" s="89"/>
      <c r="N122" s="5"/>
      <c r="O122" s="5"/>
    </row>
    <row r="123" spans="1:21" ht="13.8" thickBot="1" x14ac:dyDescent="0.3">
      <c r="A123" s="782"/>
      <c r="B123" s="87"/>
      <c r="C123" s="87" t="s">
        <v>247</v>
      </c>
      <c r="D123" s="89"/>
      <c r="E123" s="87"/>
      <c r="F123" s="96">
        <f>'Gårdens info'!G14*'Gårdens info'!D14*0.9</f>
        <v>0</v>
      </c>
      <c r="G123" s="87" t="s">
        <v>21</v>
      </c>
      <c r="H123" s="99">
        <v>0.02</v>
      </c>
      <c r="I123" s="88" t="s">
        <v>6</v>
      </c>
      <c r="J123" s="90">
        <f t="shared" ref="J123:J125" si="13">F123*H123</f>
        <v>0</v>
      </c>
      <c r="K123" s="87" t="s">
        <v>14</v>
      </c>
      <c r="L123" s="89"/>
      <c r="M123" s="89"/>
      <c r="N123" s="9"/>
      <c r="O123" s="9"/>
      <c r="P123" s="8"/>
      <c r="Q123" s="8"/>
      <c r="R123" s="8"/>
      <c r="S123" s="8"/>
      <c r="T123" s="8"/>
      <c r="U123" s="8"/>
    </row>
    <row r="124" spans="1:21" ht="13.8" thickBot="1" x14ac:dyDescent="0.3">
      <c r="A124" s="782"/>
      <c r="B124" s="87"/>
      <c r="C124" s="87" t="s">
        <v>292</v>
      </c>
      <c r="D124" s="87"/>
      <c r="E124" s="87"/>
      <c r="F124" s="96"/>
      <c r="G124" s="87" t="s">
        <v>21</v>
      </c>
      <c r="H124" s="99"/>
      <c r="I124" s="88" t="s">
        <v>6</v>
      </c>
      <c r="J124" s="90">
        <f t="shared" si="13"/>
        <v>0</v>
      </c>
      <c r="K124" s="87" t="s">
        <v>14</v>
      </c>
      <c r="L124" s="89"/>
      <c r="M124" s="89"/>
      <c r="N124" s="5"/>
      <c r="O124" s="5"/>
    </row>
    <row r="125" spans="1:21" ht="13.8" thickBot="1" x14ac:dyDescent="0.3">
      <c r="A125" s="782"/>
      <c r="B125" s="87"/>
      <c r="C125" s="87" t="s">
        <v>292</v>
      </c>
      <c r="D125" s="87"/>
      <c r="E125" s="87"/>
      <c r="F125" s="96"/>
      <c r="G125" s="87" t="s">
        <v>21</v>
      </c>
      <c r="H125" s="99"/>
      <c r="I125" s="88" t="s">
        <v>6</v>
      </c>
      <c r="J125" s="90">
        <f t="shared" si="13"/>
        <v>0</v>
      </c>
      <c r="K125" s="87" t="s">
        <v>14</v>
      </c>
      <c r="L125" s="89"/>
      <c r="M125" s="89"/>
      <c r="N125" s="5"/>
      <c r="O125" s="5"/>
    </row>
    <row r="126" spans="1:21" x14ac:dyDescent="0.25">
      <c r="A126" s="782"/>
      <c r="B126" s="250"/>
      <c r="C126" s="250" t="s">
        <v>196</v>
      </c>
      <c r="D126" s="250"/>
      <c r="E126" s="250"/>
      <c r="F126" s="251"/>
      <c r="G126" s="250"/>
      <c r="H126" s="252"/>
      <c r="I126" s="253"/>
      <c r="J126" s="254">
        <f>SUM(J123:J125)</f>
        <v>0</v>
      </c>
      <c r="K126" s="250" t="s">
        <v>14</v>
      </c>
      <c r="L126" s="250"/>
      <c r="M126" s="250"/>
      <c r="N126" s="5"/>
      <c r="O126" s="5"/>
    </row>
    <row r="127" spans="1:21" x14ac:dyDescent="0.25">
      <c r="A127" s="782"/>
      <c r="B127" s="87"/>
      <c r="C127" s="87"/>
      <c r="D127" s="87"/>
      <c r="E127" s="87"/>
      <c r="F127" s="87"/>
      <c r="G127" s="87"/>
      <c r="H127" s="88"/>
      <c r="I127" s="88"/>
      <c r="J127" s="90"/>
      <c r="K127" s="87"/>
      <c r="L127" s="89"/>
      <c r="M127" s="89"/>
      <c r="N127" s="5"/>
    </row>
    <row r="128" spans="1:21" x14ac:dyDescent="0.25">
      <c r="A128" s="782"/>
      <c r="N128" s="5"/>
    </row>
    <row r="129" spans="1:21" ht="15.6" x14ac:dyDescent="0.3">
      <c r="A129" s="782"/>
      <c r="B129" s="219" t="s">
        <v>293</v>
      </c>
      <c r="C129" s="220"/>
      <c r="D129" s="220"/>
      <c r="E129" s="220"/>
      <c r="F129" s="964" t="s">
        <v>159</v>
      </c>
      <c r="G129" s="964"/>
      <c r="H129" s="964" t="s">
        <v>158</v>
      </c>
      <c r="I129" s="964"/>
      <c r="J129" s="964" t="s">
        <v>273</v>
      </c>
      <c r="K129" s="964"/>
      <c r="L129" s="222"/>
      <c r="M129" s="222"/>
      <c r="N129" s="5"/>
    </row>
    <row r="130" spans="1:21" ht="13.8" thickBot="1" x14ac:dyDescent="0.3">
      <c r="A130" s="782"/>
      <c r="B130" s="220"/>
      <c r="C130" s="220"/>
      <c r="D130" s="220"/>
      <c r="E130" s="220"/>
      <c r="F130" s="220"/>
      <c r="G130" s="220"/>
      <c r="H130" s="221"/>
      <c r="I130" s="221"/>
      <c r="J130" s="222"/>
      <c r="K130" s="222"/>
      <c r="L130" s="222"/>
      <c r="M130" s="222"/>
      <c r="N130" s="5"/>
    </row>
    <row r="131" spans="1:21" ht="13.8" thickBot="1" x14ac:dyDescent="0.3">
      <c r="A131" s="782"/>
      <c r="B131" s="220"/>
      <c r="C131" s="220" t="s">
        <v>294</v>
      </c>
      <c r="D131" s="222"/>
      <c r="E131" s="220"/>
      <c r="F131" s="96"/>
      <c r="G131" s="220" t="s">
        <v>0</v>
      </c>
      <c r="H131" s="99"/>
      <c r="I131" s="221" t="s">
        <v>14</v>
      </c>
      <c r="J131" s="223">
        <f t="shared" ref="J131:J133" si="14">F131*H131</f>
        <v>0</v>
      </c>
      <c r="K131" s="220" t="s">
        <v>14</v>
      </c>
      <c r="L131" s="222"/>
      <c r="M131" s="222"/>
      <c r="N131" s="5"/>
    </row>
    <row r="132" spans="1:21" ht="13.8" thickBot="1" x14ac:dyDescent="0.3">
      <c r="B132" s="220"/>
      <c r="C132" s="220" t="s">
        <v>294</v>
      </c>
      <c r="D132" s="220"/>
      <c r="E132" s="220"/>
      <c r="F132" s="96"/>
      <c r="G132" s="220" t="s">
        <v>0</v>
      </c>
      <c r="H132" s="99"/>
      <c r="I132" s="221" t="s">
        <v>14</v>
      </c>
      <c r="J132" s="223">
        <f t="shared" si="14"/>
        <v>0</v>
      </c>
      <c r="K132" s="220" t="s">
        <v>14</v>
      </c>
      <c r="L132" s="222"/>
      <c r="M132" s="222"/>
    </row>
    <row r="133" spans="1:21" ht="13.8" thickBot="1" x14ac:dyDescent="0.3">
      <c r="B133" s="220"/>
      <c r="C133" s="220" t="s">
        <v>294</v>
      </c>
      <c r="D133" s="220"/>
      <c r="E133" s="220"/>
      <c r="F133" s="96"/>
      <c r="G133" s="220" t="s">
        <v>0</v>
      </c>
      <c r="H133" s="99"/>
      <c r="I133" s="221" t="s">
        <v>14</v>
      </c>
      <c r="J133" s="223">
        <f t="shared" si="14"/>
        <v>0</v>
      </c>
      <c r="K133" s="220" t="s">
        <v>14</v>
      </c>
      <c r="L133" s="222"/>
      <c r="M133" s="222"/>
    </row>
    <row r="134" spans="1:21" s="8" customFormat="1" x14ac:dyDescent="0.25">
      <c r="A134" s="777"/>
      <c r="B134" s="255"/>
      <c r="C134" s="255" t="s">
        <v>196</v>
      </c>
      <c r="D134" s="255"/>
      <c r="E134" s="255"/>
      <c r="F134" s="256"/>
      <c r="G134" s="255"/>
      <c r="H134" s="257"/>
      <c r="I134" s="258"/>
      <c r="J134" s="259">
        <f>SUM(J131:J133)</f>
        <v>0</v>
      </c>
      <c r="K134" s="255" t="s">
        <v>14</v>
      </c>
      <c r="L134" s="255"/>
      <c r="M134" s="255"/>
      <c r="N134"/>
      <c r="O134"/>
      <c r="P134"/>
      <c r="Q134"/>
      <c r="R134"/>
      <c r="S134"/>
      <c r="T134"/>
      <c r="U134"/>
    </row>
    <row r="135" spans="1:21" x14ac:dyDescent="0.25">
      <c r="B135" s="220"/>
      <c r="C135" s="220"/>
      <c r="D135" s="220"/>
      <c r="E135" s="220"/>
      <c r="F135" s="220"/>
      <c r="G135" s="220"/>
      <c r="H135" s="221"/>
      <c r="I135" s="221"/>
      <c r="J135" s="223"/>
      <c r="K135" s="220"/>
      <c r="L135" s="222"/>
      <c r="M135" s="222"/>
    </row>
    <row r="136" spans="1:21" ht="30" customHeight="1" x14ac:dyDescent="0.25">
      <c r="N136" s="8"/>
      <c r="O136" s="8"/>
      <c r="P136" s="8"/>
      <c r="Q136" s="8"/>
      <c r="R136" s="8"/>
      <c r="S136" s="8"/>
      <c r="T136" s="8"/>
      <c r="U136" s="8"/>
    </row>
    <row r="137" spans="1:21" ht="15.6" x14ac:dyDescent="0.3">
      <c r="B137" s="225" t="s">
        <v>295</v>
      </c>
      <c r="C137" s="226"/>
      <c r="D137" s="226"/>
      <c r="E137" s="227"/>
      <c r="F137" s="226" t="s">
        <v>159</v>
      </c>
      <c r="G137" s="228"/>
      <c r="H137" s="228" t="s">
        <v>158</v>
      </c>
      <c r="I137" s="226"/>
      <c r="J137" s="226"/>
      <c r="K137" s="229"/>
      <c r="L137" s="229"/>
      <c r="M137" s="229"/>
    </row>
    <row r="138" spans="1:21" ht="16.2" thickBot="1" x14ac:dyDescent="0.35">
      <c r="B138" s="225"/>
      <c r="C138" s="226"/>
      <c r="D138" s="226"/>
      <c r="E138" s="227"/>
      <c r="F138" s="226"/>
      <c r="G138" s="228"/>
      <c r="H138" s="228"/>
      <c r="I138" s="226"/>
      <c r="J138" s="226"/>
      <c r="K138" s="229"/>
      <c r="L138" s="229"/>
      <c r="M138" s="229"/>
    </row>
    <row r="139" spans="1:21" ht="13.8" thickBot="1" x14ac:dyDescent="0.3">
      <c r="B139" s="226"/>
      <c r="C139" s="226" t="s">
        <v>296</v>
      </c>
      <c r="D139" s="229"/>
      <c r="E139" s="230"/>
      <c r="F139" s="96">
        <v>10500</v>
      </c>
      <c r="G139" s="231" t="s">
        <v>18</v>
      </c>
      <c r="H139" s="96">
        <v>0.15</v>
      </c>
      <c r="I139" s="232" t="s">
        <v>10</v>
      </c>
      <c r="J139" s="229">
        <f>H139*F139</f>
        <v>1575</v>
      </c>
      <c r="K139" s="232" t="s">
        <v>14</v>
      </c>
      <c r="L139" s="229"/>
      <c r="M139" s="229"/>
    </row>
    <row r="140" spans="1:21" ht="13.8" thickBot="1" x14ac:dyDescent="0.3">
      <c r="B140" s="226"/>
      <c r="C140" s="226" t="s">
        <v>297</v>
      </c>
      <c r="D140" s="232">
        <f>F173/2</f>
        <v>74.5</v>
      </c>
      <c r="E140" s="226" t="s">
        <v>9</v>
      </c>
      <c r="F140" s="96">
        <f>+D140*8</f>
        <v>596</v>
      </c>
      <c r="G140" s="228" t="s">
        <v>20</v>
      </c>
      <c r="H140" s="96">
        <v>0.83</v>
      </c>
      <c r="I140" s="232" t="s">
        <v>5</v>
      </c>
      <c r="J140" s="229">
        <f>H140*F140</f>
        <v>494.67999999999995</v>
      </c>
      <c r="K140" s="232" t="s">
        <v>14</v>
      </c>
      <c r="L140" s="229"/>
      <c r="M140" s="229"/>
    </row>
    <row r="141" spans="1:21" ht="13.8" thickBot="1" x14ac:dyDescent="0.3">
      <c r="B141" s="226"/>
      <c r="C141" s="226" t="s">
        <v>298</v>
      </c>
      <c r="D141" s="232">
        <f>D140</f>
        <v>74.5</v>
      </c>
      <c r="E141" s="226" t="s">
        <v>9</v>
      </c>
      <c r="F141" s="96">
        <v>11.88</v>
      </c>
      <c r="G141" s="228" t="s">
        <v>21</v>
      </c>
      <c r="H141" s="96">
        <v>4</v>
      </c>
      <c r="I141" s="232" t="s">
        <v>6</v>
      </c>
      <c r="J141" s="229">
        <f t="shared" ref="J141:J145" si="15">H141*F141</f>
        <v>47.52</v>
      </c>
      <c r="K141" s="232" t="s">
        <v>14</v>
      </c>
      <c r="L141" s="229"/>
      <c r="M141" s="229"/>
    </row>
    <row r="142" spans="1:21" ht="13.8" thickBot="1" x14ac:dyDescent="0.3">
      <c r="B142" s="226"/>
      <c r="C142" s="226" t="s">
        <v>19</v>
      </c>
      <c r="D142" s="229"/>
      <c r="E142" s="232"/>
      <c r="F142" s="96">
        <v>200</v>
      </c>
      <c r="G142" s="228" t="s">
        <v>20</v>
      </c>
      <c r="H142" s="96">
        <v>1.53</v>
      </c>
      <c r="I142" s="232" t="s">
        <v>5</v>
      </c>
      <c r="J142" s="229">
        <f t="shared" si="15"/>
        <v>306</v>
      </c>
      <c r="K142" s="232" t="s">
        <v>14</v>
      </c>
      <c r="L142" s="229"/>
      <c r="M142" s="229"/>
    </row>
    <row r="143" spans="1:21" ht="13.8" thickBot="1" x14ac:dyDescent="0.3">
      <c r="B143" s="226"/>
      <c r="C143" s="226" t="s">
        <v>299</v>
      </c>
      <c r="D143" s="229"/>
      <c r="E143" s="232"/>
      <c r="F143" s="96"/>
      <c r="G143" s="228" t="s">
        <v>20</v>
      </c>
      <c r="H143" s="96"/>
      <c r="I143" s="232" t="s">
        <v>5</v>
      </c>
      <c r="J143" s="229">
        <f t="shared" si="15"/>
        <v>0</v>
      </c>
      <c r="K143" s="232" t="s">
        <v>14</v>
      </c>
      <c r="L143" s="229"/>
      <c r="M143" s="229"/>
    </row>
    <row r="144" spans="1:21" ht="13.8" thickBot="1" x14ac:dyDescent="0.3">
      <c r="B144" s="226"/>
      <c r="C144" s="226" t="s">
        <v>300</v>
      </c>
      <c r="D144" s="229"/>
      <c r="E144" s="232"/>
      <c r="F144" s="96"/>
      <c r="G144" s="228"/>
      <c r="H144" s="96"/>
      <c r="I144" s="232"/>
      <c r="J144" s="229">
        <f t="shared" si="15"/>
        <v>0</v>
      </c>
      <c r="K144" s="232" t="s">
        <v>14</v>
      </c>
      <c r="L144" s="229"/>
      <c r="M144" s="229"/>
    </row>
    <row r="145" spans="1:21" ht="13.8" thickBot="1" x14ac:dyDescent="0.3">
      <c r="B145" s="229"/>
      <c r="C145" s="226" t="s">
        <v>300</v>
      </c>
      <c r="D145" s="229"/>
      <c r="E145" s="229"/>
      <c r="F145" s="96"/>
      <c r="G145" s="229"/>
      <c r="H145" s="96"/>
      <c r="I145" s="229"/>
      <c r="J145" s="229">
        <f t="shared" si="15"/>
        <v>0</v>
      </c>
      <c r="K145" s="232" t="s">
        <v>14</v>
      </c>
      <c r="L145" s="229"/>
      <c r="M145" s="229"/>
    </row>
    <row r="146" spans="1:21" s="8" customFormat="1" x14ac:dyDescent="0.25">
      <c r="A146" s="777"/>
      <c r="B146" s="260"/>
      <c r="C146" s="260" t="s">
        <v>196</v>
      </c>
      <c r="D146" s="260"/>
      <c r="E146" s="260"/>
      <c r="F146" s="261"/>
      <c r="G146" s="260"/>
      <c r="H146" s="261"/>
      <c r="I146" s="260"/>
      <c r="J146" s="260">
        <f>SUM(J139:J145)</f>
        <v>2423.1999999999998</v>
      </c>
      <c r="K146" s="262" t="s">
        <v>14</v>
      </c>
      <c r="L146" s="260"/>
      <c r="M146" s="260"/>
    </row>
    <row r="147" spans="1:21" x14ac:dyDescent="0.25">
      <c r="B147" s="229"/>
      <c r="C147" s="229"/>
      <c r="D147" s="229"/>
      <c r="E147" s="229"/>
      <c r="F147" s="229"/>
      <c r="G147" s="229"/>
      <c r="H147" s="229"/>
      <c r="I147" s="229"/>
      <c r="J147" s="229"/>
      <c r="K147" s="229"/>
      <c r="L147" s="229"/>
      <c r="M147" s="229"/>
    </row>
    <row r="149" spans="1:21" ht="15.6" x14ac:dyDescent="0.3">
      <c r="B149" s="112" t="s">
        <v>301</v>
      </c>
      <c r="C149" s="101"/>
      <c r="D149" s="101"/>
      <c r="E149" s="101"/>
      <c r="F149" s="101"/>
      <c r="G149" s="101"/>
      <c r="H149" s="101"/>
      <c r="I149" s="101"/>
      <c r="J149" s="101"/>
      <c r="K149" s="101"/>
      <c r="L149" s="101"/>
      <c r="M149" s="101"/>
    </row>
    <row r="150" spans="1:21" ht="15.6" x14ac:dyDescent="0.3">
      <c r="B150" s="112"/>
      <c r="C150" s="101"/>
      <c r="D150" s="101"/>
      <c r="E150" s="101"/>
      <c r="F150" s="101"/>
      <c r="G150" s="101"/>
      <c r="H150" s="101"/>
      <c r="I150" s="101"/>
      <c r="J150" s="101"/>
      <c r="K150" s="101"/>
      <c r="L150" s="101"/>
      <c r="M150" s="101"/>
    </row>
    <row r="151" spans="1:21" ht="15" customHeight="1" x14ac:dyDescent="0.25">
      <c r="B151" s="961" t="s">
        <v>302</v>
      </c>
      <c r="C151" s="961"/>
      <c r="D151" s="961"/>
      <c r="E151" s="961"/>
      <c r="F151" s="961"/>
      <c r="G151" s="961"/>
      <c r="H151" s="961"/>
      <c r="I151" s="961"/>
      <c r="J151" s="961"/>
      <c r="K151" s="961"/>
      <c r="L151" s="961"/>
      <c r="M151" s="961"/>
    </row>
    <row r="152" spans="1:21" s="8" customFormat="1" ht="15.6" x14ac:dyDescent="0.3">
      <c r="A152" s="777"/>
      <c r="B152" s="112"/>
      <c r="C152" s="101"/>
      <c r="D152" s="101"/>
      <c r="E152" s="834"/>
      <c r="F152" s="834"/>
      <c r="G152" s="834"/>
      <c r="H152" s="835"/>
      <c r="I152" s="835"/>
      <c r="J152" s="834"/>
      <c r="K152" s="834"/>
      <c r="L152" s="835"/>
      <c r="M152" s="835"/>
      <c r="N152"/>
      <c r="O152"/>
      <c r="P152"/>
      <c r="Q152"/>
      <c r="R152"/>
      <c r="S152"/>
      <c r="T152"/>
      <c r="U152"/>
    </row>
    <row r="153" spans="1:21" ht="15.6" x14ac:dyDescent="0.3">
      <c r="B153" s="112"/>
      <c r="C153" s="101"/>
      <c r="D153" s="101"/>
      <c r="E153" s="962" t="s">
        <v>303</v>
      </c>
      <c r="F153" s="962"/>
      <c r="G153" s="962"/>
      <c r="H153" s="963" t="s">
        <v>158</v>
      </c>
      <c r="I153" s="963"/>
      <c r="J153" s="963" t="s">
        <v>304</v>
      </c>
      <c r="K153" s="963"/>
      <c r="L153" s="963" t="s">
        <v>158</v>
      </c>
      <c r="M153" s="963"/>
    </row>
    <row r="154" spans="1:21" ht="33" customHeight="1" thickBot="1" x14ac:dyDescent="0.3">
      <c r="B154" s="100"/>
      <c r="C154" s="101"/>
      <c r="D154" s="101"/>
      <c r="E154" s="101"/>
      <c r="F154" s="101"/>
      <c r="G154" s="101"/>
      <c r="H154" s="101"/>
      <c r="I154" s="101"/>
      <c r="J154" s="101"/>
      <c r="K154" s="101"/>
      <c r="L154" s="101"/>
      <c r="M154" s="101"/>
      <c r="N154" s="8"/>
      <c r="O154" s="8"/>
      <c r="P154" s="8"/>
      <c r="Q154" s="8"/>
      <c r="R154" s="8"/>
      <c r="S154" s="8"/>
      <c r="T154" s="8"/>
      <c r="U154" s="8"/>
    </row>
    <row r="155" spans="1:21" ht="13.8" thickBot="1" x14ac:dyDescent="0.3">
      <c r="B155" s="101"/>
      <c r="C155" s="102" t="s">
        <v>307</v>
      </c>
      <c r="D155" s="101"/>
      <c r="E155" s="101"/>
      <c r="F155" s="115">
        <v>2</v>
      </c>
      <c r="G155" s="104" t="s">
        <v>22</v>
      </c>
      <c r="H155" s="117">
        <v>14.5</v>
      </c>
      <c r="I155" s="104" t="s">
        <v>11</v>
      </c>
      <c r="J155" s="116"/>
      <c r="K155" s="104" t="s">
        <v>22</v>
      </c>
      <c r="L155" s="117">
        <v>14.5</v>
      </c>
      <c r="M155" s="104" t="s">
        <v>11</v>
      </c>
    </row>
    <row r="156" spans="1:21" ht="13.8" thickBot="1" x14ac:dyDescent="0.3">
      <c r="B156" s="101"/>
      <c r="C156" s="102" t="s">
        <v>309</v>
      </c>
      <c r="D156" s="101"/>
      <c r="E156" s="101"/>
      <c r="F156" s="115">
        <v>4</v>
      </c>
      <c r="G156" s="104" t="s">
        <v>22</v>
      </c>
      <c r="H156" s="114">
        <f>H155</f>
        <v>14.5</v>
      </c>
      <c r="I156" s="104" t="s">
        <v>11</v>
      </c>
      <c r="J156" s="116"/>
      <c r="K156" s="104" t="s">
        <v>22</v>
      </c>
      <c r="L156" s="114">
        <f>L155</f>
        <v>14.5</v>
      </c>
      <c r="M156" s="104" t="s">
        <v>11</v>
      </c>
    </row>
    <row r="157" spans="1:21" ht="13.8" thickBot="1" x14ac:dyDescent="0.3">
      <c r="B157" s="101"/>
      <c r="C157" s="102" t="s">
        <v>308</v>
      </c>
      <c r="D157" s="101"/>
      <c r="E157" s="101"/>
      <c r="F157" s="115">
        <v>6</v>
      </c>
      <c r="G157" s="104" t="s">
        <v>22</v>
      </c>
      <c r="H157" s="114">
        <f t="shared" ref="H157:H172" si="16">H156</f>
        <v>14.5</v>
      </c>
      <c r="I157" s="104" t="s">
        <v>11</v>
      </c>
      <c r="J157" s="116"/>
      <c r="K157" s="104" t="s">
        <v>22</v>
      </c>
      <c r="L157" s="114">
        <f t="shared" ref="L157:L172" si="17">L156</f>
        <v>14.5</v>
      </c>
      <c r="M157" s="104" t="s">
        <v>11</v>
      </c>
    </row>
    <row r="158" spans="1:21" ht="13.8" thickBot="1" x14ac:dyDescent="0.3">
      <c r="B158" s="101"/>
      <c r="C158" s="102" t="s">
        <v>310</v>
      </c>
      <c r="D158" s="101"/>
      <c r="E158" s="101"/>
      <c r="F158" s="115">
        <v>4</v>
      </c>
      <c r="G158" s="104" t="s">
        <v>22</v>
      </c>
      <c r="H158" s="114">
        <f t="shared" si="16"/>
        <v>14.5</v>
      </c>
      <c r="I158" s="104" t="s">
        <v>11</v>
      </c>
      <c r="J158" s="116"/>
      <c r="K158" s="104" t="s">
        <v>22</v>
      </c>
      <c r="L158" s="114">
        <f t="shared" si="17"/>
        <v>14.5</v>
      </c>
      <c r="M158" s="104" t="s">
        <v>11</v>
      </c>
    </row>
    <row r="159" spans="1:21" ht="13.8" thickBot="1" x14ac:dyDescent="0.3">
      <c r="B159" s="101"/>
      <c r="C159" s="102" t="s">
        <v>311</v>
      </c>
      <c r="D159" s="101"/>
      <c r="E159" s="101"/>
      <c r="F159" s="115">
        <v>5</v>
      </c>
      <c r="G159" s="104" t="s">
        <v>22</v>
      </c>
      <c r="H159" s="114">
        <f t="shared" si="16"/>
        <v>14.5</v>
      </c>
      <c r="I159" s="104" t="s">
        <v>11</v>
      </c>
      <c r="J159" s="116"/>
      <c r="K159" s="104" t="s">
        <v>22</v>
      </c>
      <c r="L159" s="114">
        <f t="shared" si="17"/>
        <v>14.5</v>
      </c>
      <c r="M159" s="104" t="s">
        <v>11</v>
      </c>
    </row>
    <row r="160" spans="1:21" ht="13.8" thickBot="1" x14ac:dyDescent="0.3">
      <c r="B160" s="101"/>
      <c r="C160" s="102" t="s">
        <v>312</v>
      </c>
      <c r="D160" s="101"/>
      <c r="E160" s="101"/>
      <c r="F160" s="115">
        <v>8</v>
      </c>
      <c r="G160" s="104" t="s">
        <v>22</v>
      </c>
      <c r="H160" s="114">
        <f t="shared" si="16"/>
        <v>14.5</v>
      </c>
      <c r="I160" s="104" t="s">
        <v>11</v>
      </c>
      <c r="J160" s="116"/>
      <c r="K160" s="104" t="s">
        <v>22</v>
      </c>
      <c r="L160" s="114">
        <f t="shared" si="17"/>
        <v>14.5</v>
      </c>
      <c r="M160" s="104" t="s">
        <v>11</v>
      </c>
    </row>
    <row r="161" spans="1:21" ht="13.8" thickBot="1" x14ac:dyDescent="0.3">
      <c r="B161" s="101"/>
      <c r="C161" s="102" t="s">
        <v>315</v>
      </c>
      <c r="D161" s="101"/>
      <c r="E161" s="101"/>
      <c r="F161" s="115">
        <v>4</v>
      </c>
      <c r="G161" s="104" t="s">
        <v>22</v>
      </c>
      <c r="H161" s="114">
        <f t="shared" si="16"/>
        <v>14.5</v>
      </c>
      <c r="I161" s="104" t="s">
        <v>11</v>
      </c>
      <c r="J161" s="116"/>
      <c r="K161" s="104" t="s">
        <v>22</v>
      </c>
      <c r="L161" s="114">
        <f t="shared" si="17"/>
        <v>14.5</v>
      </c>
      <c r="M161" s="104" t="s">
        <v>11</v>
      </c>
    </row>
    <row r="162" spans="1:21" s="8" customFormat="1" ht="13.8" thickBot="1" x14ac:dyDescent="0.3">
      <c r="A162" s="777"/>
      <c r="B162" s="101"/>
      <c r="C162" s="102" t="s">
        <v>313</v>
      </c>
      <c r="D162" s="101"/>
      <c r="E162" s="101"/>
      <c r="F162" s="115">
        <v>20</v>
      </c>
      <c r="G162" s="104" t="s">
        <v>22</v>
      </c>
      <c r="H162" s="114">
        <f t="shared" si="16"/>
        <v>14.5</v>
      </c>
      <c r="I162" s="104" t="s">
        <v>11</v>
      </c>
      <c r="J162" s="116"/>
      <c r="K162" s="104" t="s">
        <v>22</v>
      </c>
      <c r="L162" s="114">
        <f t="shared" si="17"/>
        <v>14.5</v>
      </c>
      <c r="M162" s="104" t="s">
        <v>11</v>
      </c>
      <c r="N162"/>
      <c r="O162"/>
      <c r="P162"/>
      <c r="Q162"/>
      <c r="R162"/>
      <c r="S162"/>
      <c r="T162"/>
      <c r="U162"/>
    </row>
    <row r="163" spans="1:21" ht="13.8" thickBot="1" x14ac:dyDescent="0.3">
      <c r="B163" s="101"/>
      <c r="C163" s="102" t="s">
        <v>314</v>
      </c>
      <c r="D163" s="101"/>
      <c r="E163" s="101"/>
      <c r="F163" s="115">
        <v>4</v>
      </c>
      <c r="G163" s="104" t="s">
        <v>22</v>
      </c>
      <c r="H163" s="114">
        <f t="shared" si="16"/>
        <v>14.5</v>
      </c>
      <c r="I163" s="104" t="s">
        <v>11</v>
      </c>
      <c r="J163" s="116"/>
      <c r="K163" s="104" t="s">
        <v>22</v>
      </c>
      <c r="L163" s="114">
        <f t="shared" si="17"/>
        <v>14.5</v>
      </c>
      <c r="M163" s="104" t="s">
        <v>11</v>
      </c>
    </row>
    <row r="164" spans="1:21" ht="13.8" thickBot="1" x14ac:dyDescent="0.3">
      <c r="B164" s="101"/>
      <c r="C164" s="102" t="s">
        <v>316</v>
      </c>
      <c r="D164" s="101"/>
      <c r="E164" s="101"/>
      <c r="F164" s="115">
        <v>4</v>
      </c>
      <c r="G164" s="104" t="s">
        <v>22</v>
      </c>
      <c r="H164" s="114">
        <f t="shared" si="16"/>
        <v>14.5</v>
      </c>
      <c r="I164" s="104" t="s">
        <v>11</v>
      </c>
      <c r="J164" s="116"/>
      <c r="K164" s="104" t="s">
        <v>22</v>
      </c>
      <c r="L164" s="114">
        <f t="shared" si="17"/>
        <v>14.5</v>
      </c>
      <c r="M164" s="104" t="s">
        <v>11</v>
      </c>
      <c r="N164" s="8"/>
      <c r="O164" s="8"/>
      <c r="P164" s="8"/>
      <c r="Q164" s="8"/>
      <c r="R164" s="8"/>
      <c r="S164" s="8"/>
      <c r="T164" s="8"/>
      <c r="U164" s="8"/>
    </row>
    <row r="165" spans="1:21" ht="13.8" thickBot="1" x14ac:dyDescent="0.3">
      <c r="B165" s="101"/>
      <c r="C165" s="102" t="s">
        <v>317</v>
      </c>
      <c r="D165" s="101"/>
      <c r="E165" s="101"/>
      <c r="F165" s="115">
        <v>8</v>
      </c>
      <c r="G165" s="104" t="s">
        <v>22</v>
      </c>
      <c r="H165" s="114">
        <f t="shared" si="16"/>
        <v>14.5</v>
      </c>
      <c r="I165" s="104" t="s">
        <v>11</v>
      </c>
      <c r="J165" s="116"/>
      <c r="K165" s="104" t="s">
        <v>22</v>
      </c>
      <c r="L165" s="114">
        <f t="shared" si="17"/>
        <v>14.5</v>
      </c>
      <c r="M165" s="104" t="s">
        <v>11</v>
      </c>
    </row>
    <row r="166" spans="1:21" ht="13.8" thickBot="1" x14ac:dyDescent="0.3">
      <c r="B166" s="101"/>
      <c r="C166" s="102" t="s">
        <v>132</v>
      </c>
      <c r="D166" s="101"/>
      <c r="E166" s="101"/>
      <c r="F166" s="115">
        <v>20</v>
      </c>
      <c r="G166" s="104" t="s">
        <v>22</v>
      </c>
      <c r="H166" s="114">
        <f t="shared" si="16"/>
        <v>14.5</v>
      </c>
      <c r="I166" s="104" t="s">
        <v>11</v>
      </c>
      <c r="J166" s="116">
        <v>20</v>
      </c>
      <c r="K166" s="104" t="s">
        <v>22</v>
      </c>
      <c r="L166" s="114">
        <f t="shared" si="17"/>
        <v>14.5</v>
      </c>
      <c r="M166" s="104" t="s">
        <v>11</v>
      </c>
    </row>
    <row r="167" spans="1:21" ht="13.8" thickBot="1" x14ac:dyDescent="0.3">
      <c r="B167" s="101"/>
      <c r="C167" s="102" t="s">
        <v>318</v>
      </c>
      <c r="D167" s="101"/>
      <c r="E167" s="101"/>
      <c r="F167" s="115">
        <v>10</v>
      </c>
      <c r="G167" s="104" t="s">
        <v>22</v>
      </c>
      <c r="H167" s="114">
        <f t="shared" si="16"/>
        <v>14.5</v>
      </c>
      <c r="I167" s="104" t="s">
        <v>11</v>
      </c>
      <c r="J167" s="116"/>
      <c r="K167" s="104" t="s">
        <v>22</v>
      </c>
      <c r="L167" s="114">
        <f t="shared" si="17"/>
        <v>14.5</v>
      </c>
      <c r="M167" s="104" t="s">
        <v>11</v>
      </c>
    </row>
    <row r="168" spans="1:21" ht="13.8" thickBot="1" x14ac:dyDescent="0.3">
      <c r="B168" s="101"/>
      <c r="C168" s="102" t="s">
        <v>319</v>
      </c>
      <c r="D168" s="101"/>
      <c r="E168" s="101"/>
      <c r="F168" s="116">
        <v>40</v>
      </c>
      <c r="G168" s="104" t="s">
        <v>22</v>
      </c>
      <c r="H168" s="114">
        <f t="shared" si="16"/>
        <v>14.5</v>
      </c>
      <c r="I168" s="104" t="s">
        <v>11</v>
      </c>
      <c r="J168" s="116">
        <v>40</v>
      </c>
      <c r="K168" s="104" t="s">
        <v>22</v>
      </c>
      <c r="L168" s="114">
        <f t="shared" si="17"/>
        <v>14.5</v>
      </c>
      <c r="M168" s="104" t="s">
        <v>11</v>
      </c>
    </row>
    <row r="169" spans="1:21" ht="13.8" thickBot="1" x14ac:dyDescent="0.3">
      <c r="B169" s="101"/>
      <c r="C169" s="102" t="s">
        <v>306</v>
      </c>
      <c r="D169" s="101"/>
      <c r="E169" s="101"/>
      <c r="F169" s="116">
        <v>10</v>
      </c>
      <c r="G169" s="104" t="s">
        <v>22</v>
      </c>
      <c r="H169" s="114">
        <f t="shared" si="16"/>
        <v>14.5</v>
      </c>
      <c r="I169" s="104" t="s">
        <v>11</v>
      </c>
      <c r="J169" s="116"/>
      <c r="K169" s="104" t="s">
        <v>22</v>
      </c>
      <c r="L169" s="114">
        <f t="shared" si="17"/>
        <v>14.5</v>
      </c>
      <c r="M169" s="104" t="s">
        <v>11</v>
      </c>
    </row>
    <row r="170" spans="1:21" ht="13.8" thickBot="1" x14ac:dyDescent="0.3">
      <c r="B170" s="101"/>
      <c r="C170" s="102" t="s">
        <v>305</v>
      </c>
      <c r="D170" s="101"/>
      <c r="E170" s="101"/>
      <c r="F170" s="116"/>
      <c r="G170" s="104" t="s">
        <v>22</v>
      </c>
      <c r="H170" s="114">
        <f t="shared" si="16"/>
        <v>14.5</v>
      </c>
      <c r="I170" s="104" t="s">
        <v>11</v>
      </c>
      <c r="J170" s="97"/>
      <c r="K170" s="104" t="s">
        <v>22</v>
      </c>
      <c r="L170" s="114">
        <f t="shared" si="17"/>
        <v>14.5</v>
      </c>
      <c r="M170" s="104" t="s">
        <v>11</v>
      </c>
    </row>
    <row r="171" spans="1:21" ht="13.8" thickBot="1" x14ac:dyDescent="0.3">
      <c r="B171" s="101"/>
      <c r="C171" s="102" t="s">
        <v>305</v>
      </c>
      <c r="D171" s="101"/>
      <c r="E171" s="101"/>
      <c r="F171" s="116"/>
      <c r="G171" s="104" t="s">
        <v>22</v>
      </c>
      <c r="H171" s="114">
        <f t="shared" si="16"/>
        <v>14.5</v>
      </c>
      <c r="I171" s="104" t="s">
        <v>11</v>
      </c>
      <c r="J171" s="97"/>
      <c r="K171" s="104" t="s">
        <v>22</v>
      </c>
      <c r="L171" s="114">
        <f t="shared" si="17"/>
        <v>14.5</v>
      </c>
      <c r="M171" s="104" t="s">
        <v>11</v>
      </c>
    </row>
    <row r="172" spans="1:21" ht="13.8" thickBot="1" x14ac:dyDescent="0.3">
      <c r="B172" s="101"/>
      <c r="C172" s="102" t="s">
        <v>305</v>
      </c>
      <c r="D172" s="103"/>
      <c r="E172" s="103"/>
      <c r="F172" s="97"/>
      <c r="G172" s="104" t="s">
        <v>22</v>
      </c>
      <c r="H172" s="114">
        <f t="shared" si="16"/>
        <v>14.5</v>
      </c>
      <c r="I172" s="104" t="s">
        <v>11</v>
      </c>
      <c r="J172" s="97"/>
      <c r="K172" s="104" t="s">
        <v>22</v>
      </c>
      <c r="L172" s="114">
        <f t="shared" si="17"/>
        <v>14.5</v>
      </c>
      <c r="M172" s="104" t="s">
        <v>11</v>
      </c>
    </row>
    <row r="173" spans="1:21" x14ac:dyDescent="0.25">
      <c r="B173" s="264"/>
      <c r="C173" s="265" t="s">
        <v>196</v>
      </c>
      <c r="D173" s="266"/>
      <c r="E173" s="266"/>
      <c r="F173" s="267">
        <f>SUM(F155:F172)</f>
        <v>149</v>
      </c>
      <c r="G173" s="264" t="s">
        <v>22</v>
      </c>
      <c r="H173" s="268">
        <f>F173*H155</f>
        <v>2160.5</v>
      </c>
      <c r="I173" s="264" t="s">
        <v>14</v>
      </c>
      <c r="J173" s="269">
        <f>SUM(J155:J172)</f>
        <v>60</v>
      </c>
      <c r="K173" s="264" t="s">
        <v>22</v>
      </c>
      <c r="L173" s="268">
        <f>J173*L155</f>
        <v>870</v>
      </c>
      <c r="M173" s="264" t="s">
        <v>14</v>
      </c>
    </row>
    <row r="175" spans="1:21" ht="40.049999999999997" customHeight="1" x14ac:dyDescent="0.25">
      <c r="N175" s="8"/>
      <c r="O175" s="8"/>
      <c r="P175" s="8"/>
      <c r="Q175" s="8"/>
      <c r="R175" s="8"/>
      <c r="S175" s="8"/>
      <c r="T175" s="8"/>
      <c r="U175" s="8"/>
    </row>
    <row r="178" spans="1:21" ht="37.950000000000003" customHeight="1" x14ac:dyDescent="0.25"/>
    <row r="190" spans="1:21" s="8" customFormat="1" x14ac:dyDescent="0.25">
      <c r="A190" s="777"/>
      <c r="B190"/>
      <c r="C190"/>
      <c r="D190"/>
      <c r="E190"/>
      <c r="F190"/>
      <c r="G190"/>
      <c r="H190"/>
      <c r="I190"/>
      <c r="J190"/>
      <c r="K190"/>
      <c r="L190"/>
      <c r="M190"/>
      <c r="N190"/>
      <c r="O190"/>
      <c r="P190"/>
      <c r="Q190"/>
      <c r="R190"/>
      <c r="S190"/>
      <c r="T190"/>
      <c r="U190"/>
    </row>
    <row r="192" spans="1:21" x14ac:dyDescent="0.25">
      <c r="N192" s="8"/>
      <c r="O192" s="8"/>
      <c r="P192" s="8"/>
      <c r="Q192" s="8"/>
      <c r="R192" s="8"/>
      <c r="S192" s="8"/>
      <c r="T192" s="8"/>
      <c r="U192" s="8"/>
    </row>
  </sheetData>
  <mergeCells count="45">
    <mergeCell ref="F129:G129"/>
    <mergeCell ref="H129:I129"/>
    <mergeCell ref="J129:K129"/>
    <mergeCell ref="B151:M151"/>
    <mergeCell ref="E153:G153"/>
    <mergeCell ref="H153:I153"/>
    <mergeCell ref="J153:K153"/>
    <mergeCell ref="L153:M153"/>
    <mergeCell ref="F108:G108"/>
    <mergeCell ref="H108:I108"/>
    <mergeCell ref="J108:K108"/>
    <mergeCell ref="F121:G121"/>
    <mergeCell ref="H121:I121"/>
    <mergeCell ref="J121:K121"/>
    <mergeCell ref="L69:M69"/>
    <mergeCell ref="F76:G76"/>
    <mergeCell ref="H76:I76"/>
    <mergeCell ref="J76:K76"/>
    <mergeCell ref="F87:G87"/>
    <mergeCell ref="H87:I87"/>
    <mergeCell ref="J87:K87"/>
    <mergeCell ref="F71:G71"/>
    <mergeCell ref="H71:I71"/>
    <mergeCell ref="J71:K71"/>
    <mergeCell ref="C41:D41"/>
    <mergeCell ref="B45:D45"/>
    <mergeCell ref="C48:D48"/>
    <mergeCell ref="B52:C52"/>
    <mergeCell ref="C55:D55"/>
    <mergeCell ref="B57:D57"/>
    <mergeCell ref="B62:D62"/>
    <mergeCell ref="B64:D64"/>
    <mergeCell ref="B66:D66"/>
    <mergeCell ref="B69:E69"/>
    <mergeCell ref="B38:D38"/>
    <mergeCell ref="B4:L4"/>
    <mergeCell ref="O9:Q9"/>
    <mergeCell ref="T9:U9"/>
    <mergeCell ref="B11:D11"/>
    <mergeCell ref="O18:Q18"/>
    <mergeCell ref="B26:E26"/>
    <mergeCell ref="B27:E27"/>
    <mergeCell ref="B28:D28"/>
    <mergeCell ref="B31:C31"/>
    <mergeCell ref="C34:D34"/>
  </mergeCells>
  <hyperlinks>
    <hyperlink ref="L69" location="'Avomaan mansikka'!B2" display="PALAA SIVUN YLÄLAITAAN" xr:uid="{3161D5DA-0DF8-6543-BF6E-D6DE34549278}"/>
    <hyperlink ref="L69:M69" location="'Grönsak från frö 1'!A1" display="TILL SIDANS BÖRJAN" xr:uid="{CE484AF1-990F-9E45-808A-75959D9C1565}"/>
    <hyperlink ref="B31:C31" location="Ägendom!B13" display="BYGGNADER" xr:uid="{40135B6F-6F11-4F2A-8DAF-D553A2EB8D83}"/>
    <hyperlink ref="B38:D38" location="Ägendom!B27" display="MASKINER OCH UTRUSTNING" xr:uid="{A7321F63-7C58-4E32-A8BC-5658BCFC173F}"/>
    <hyperlink ref="B45:D45" location="Ägendom!B56" display="LÅNGVARIGA PRODUKTIONSMEDEL" xr:uid="{7AA16D72-3BDB-4D2A-BF7A-FFD5A5114C36}"/>
    <hyperlink ref="B52:C52" location="Ägendom!B79" display="TÄCKDIKEN" xr:uid="{477AEAB9-9F90-45C4-9539-C601BE4916ED}"/>
    <hyperlink ref="B2" location="'Gårdens info'!A1" display="TILL FRAMSIDAN" xr:uid="{D3C8598C-D861-4ED5-9652-B1D7DFEDCE24}"/>
    <hyperlink ref="B26:E26" location="'Gårdens info'!A131" display="ALLMÄNNA KOSTNADER, grönsakens andel" xr:uid="{5EF90084-9E0B-4397-AD8F-E7865EC1E6DB}"/>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E6D86-DFA1-354C-9185-76DA1029A8BB}">
  <sheetPr>
    <tabColor theme="6" tint="0.59999389629810485"/>
  </sheetPr>
  <dimension ref="A1:AC192"/>
  <sheetViews>
    <sheetView topLeftCell="A166" workbookViewId="0"/>
  </sheetViews>
  <sheetFormatPr defaultColWidth="11.44140625" defaultRowHeight="13.2" x14ac:dyDescent="0.25"/>
  <cols>
    <col min="1" max="1" width="5.33203125" style="67" customWidth="1"/>
    <col min="3" max="3" width="16.77734375" customWidth="1"/>
    <col min="4" max="4" width="22.6640625" customWidth="1"/>
    <col min="5" max="5" width="12.109375" bestFit="1" customWidth="1"/>
    <col min="6" max="6" width="20.6640625" bestFit="1" customWidth="1"/>
    <col min="7" max="7" width="6.33203125" customWidth="1"/>
    <col min="9" max="9" width="6" customWidth="1"/>
    <col min="10" max="10" width="15.109375" customWidth="1"/>
    <col min="11" max="11" width="9.6640625" customWidth="1"/>
    <col min="12" max="12" width="20" customWidth="1"/>
    <col min="13" max="13" width="12.109375" customWidth="1"/>
    <col min="14" max="14" width="9.44140625" customWidth="1"/>
    <col min="15" max="15" width="7.77734375" customWidth="1"/>
    <col min="16" max="16" width="4.44140625" customWidth="1"/>
    <col min="17" max="17" width="15" customWidth="1"/>
    <col min="18" max="18" width="5.109375" customWidth="1"/>
    <col min="19" max="19" width="18.33203125" bestFit="1" customWidth="1"/>
  </cols>
  <sheetData>
    <row r="1" spans="1:21" s="67" customFormat="1" ht="22.8" x14ac:dyDescent="0.4">
      <c r="B1" s="775" t="s">
        <v>113</v>
      </c>
    </row>
    <row r="2" spans="1:21" ht="27" customHeight="1" x14ac:dyDescent="0.3">
      <c r="B2" s="852" t="s">
        <v>337</v>
      </c>
      <c r="C2" s="852"/>
      <c r="F2" s="91"/>
      <c r="G2" s="91"/>
      <c r="H2" s="91"/>
    </row>
    <row r="3" spans="1:21" ht="27" customHeight="1" x14ac:dyDescent="0.3">
      <c r="B3" s="839"/>
      <c r="C3" s="839"/>
    </row>
    <row r="4" spans="1:21" ht="40.049999999999997" customHeight="1" x14ac:dyDescent="0.3">
      <c r="B4" s="942" t="s">
        <v>236</v>
      </c>
      <c r="C4" s="942"/>
      <c r="D4" s="942"/>
      <c r="E4" s="942"/>
      <c r="F4" s="942"/>
      <c r="G4" s="942"/>
      <c r="H4" s="942"/>
      <c r="I4" s="942"/>
      <c r="J4" s="942"/>
      <c r="K4" s="942"/>
      <c r="L4" s="942"/>
    </row>
    <row r="5" spans="1:21" ht="27" customHeight="1" thickBot="1" x14ac:dyDescent="0.35">
      <c r="B5" s="759"/>
      <c r="C5" s="759"/>
    </row>
    <row r="6" spans="1:21" ht="27" customHeight="1" x14ac:dyDescent="0.4">
      <c r="B6" s="318" t="s">
        <v>256</v>
      </c>
      <c r="C6" s="282"/>
      <c r="D6" s="283"/>
      <c r="E6" s="283"/>
      <c r="F6" s="283"/>
      <c r="G6" s="283"/>
      <c r="H6" s="283"/>
      <c r="I6" s="283"/>
      <c r="J6" s="283"/>
      <c r="K6" s="283"/>
      <c r="L6" s="283"/>
      <c r="M6" s="284"/>
      <c r="N6" s="441"/>
      <c r="O6" s="283"/>
      <c r="P6" s="283"/>
      <c r="Q6" s="283"/>
      <c r="R6" s="283"/>
      <c r="S6" s="283"/>
      <c r="T6" s="283"/>
      <c r="U6" s="284"/>
    </row>
    <row r="7" spans="1:21" ht="27" customHeight="1" x14ac:dyDescent="0.4">
      <c r="B7" s="285"/>
      <c r="C7" s="286"/>
      <c r="D7" s="148"/>
      <c r="E7" s="148"/>
      <c r="F7" s="148"/>
      <c r="G7" s="148"/>
      <c r="H7" s="148"/>
      <c r="I7" s="148"/>
      <c r="J7" s="148"/>
      <c r="K7" s="148"/>
      <c r="L7" s="148"/>
      <c r="M7" s="287"/>
      <c r="N7" s="442"/>
      <c r="O7" s="148"/>
      <c r="P7" s="148"/>
      <c r="Q7" s="148"/>
      <c r="R7" s="148"/>
      <c r="S7" s="148"/>
      <c r="T7" s="148"/>
      <c r="U7" s="287"/>
    </row>
    <row r="8" spans="1:21" ht="21" x14ac:dyDescent="0.4">
      <c r="B8" s="319" t="s">
        <v>238</v>
      </c>
      <c r="C8" s="286"/>
      <c r="D8" s="148"/>
      <c r="E8" s="151"/>
      <c r="F8" s="151"/>
      <c r="G8" s="151"/>
      <c r="H8" s="151"/>
      <c r="I8" s="148"/>
      <c r="J8" s="148"/>
      <c r="K8" s="148"/>
      <c r="L8" s="148"/>
      <c r="M8" s="287"/>
      <c r="N8" s="319" t="s">
        <v>239</v>
      </c>
      <c r="O8" s="148"/>
      <c r="P8" s="148"/>
      <c r="Q8" s="148"/>
      <c r="R8" s="148"/>
      <c r="S8" s="148"/>
      <c r="T8" s="148"/>
      <c r="U8" s="300"/>
    </row>
    <row r="9" spans="1:21" ht="21" customHeight="1" thickBot="1" x14ac:dyDescent="0.35">
      <c r="B9" s="288"/>
      <c r="C9" s="289" t="s">
        <v>239</v>
      </c>
      <c r="D9" s="151"/>
      <c r="E9" s="151"/>
      <c r="F9" s="290">
        <f>IF('Gårdens info'!D15&gt;0,H9*'Gårdens info'!G15,0)</f>
        <v>0</v>
      </c>
      <c r="G9" s="151" t="s">
        <v>14</v>
      </c>
      <c r="H9" s="619">
        <f>IF('Gårdens info'!G15&gt;0,(('Gårdens info'!D15*'Gårdens info'!G15*S10*T10)+('Gårdens info'!D15*'Gårdens info'!G15*S11*T11)+('Gårdens info'!D15*'Gårdens info'!G15*S12*T12)+('Gårdens info'!D15*'Gårdens info'!G15*S13*T13)+('Gårdens info'!D15*'Gårdens info'!G15*S14*T14)+('Gårdens info'!D15*'Gårdens info'!G15*S15*T15)+('Gårdens info'!D15*'Gårdens info'!G15*S16*T16)+('Gårdens info'!D15*'Gårdens info'!G15*S17*T17))/(('Gårdens info'!D15*'Gårdens info'!G15)),0)</f>
        <v>0</v>
      </c>
      <c r="I9" s="151" t="s">
        <v>6</v>
      </c>
      <c r="J9" s="290">
        <f>F9*'Gårdens info'!D15</f>
        <v>0</v>
      </c>
      <c r="K9" s="151" t="s">
        <v>365</v>
      </c>
      <c r="L9" s="151"/>
      <c r="M9" s="287"/>
      <c r="N9" s="442"/>
      <c r="O9" s="943" t="s">
        <v>366</v>
      </c>
      <c r="P9" s="943"/>
      <c r="Q9" s="943"/>
      <c r="R9" s="760"/>
      <c r="S9" s="444" t="s">
        <v>339</v>
      </c>
      <c r="T9" s="967" t="s">
        <v>340</v>
      </c>
      <c r="U9" s="968"/>
    </row>
    <row r="10" spans="1:21" ht="15.6" thickBot="1" x14ac:dyDescent="0.3">
      <c r="B10" s="288"/>
      <c r="C10" s="151" t="s">
        <v>224</v>
      </c>
      <c r="D10" s="151"/>
      <c r="E10" s="151"/>
      <c r="F10" s="290">
        <f>IF('Gårdens info'!D15&gt;0,Stöd!J6/'Gårdens info'!D37*Stöd!L6+Stöd!J7/'Gårdens info'!D37*Stöd!L7+Stöd!J8/'Gårdens info'!D37*Stöd!L8+Stöd!J12/'Gårdens info'!D37*Stöd!L12+Stöd!J16/'Gårdens info'!D37*Stöd!L16+Stöd!J18/'Gårdens info'!D37*Stöd!L18+Stöd!J19/'Gårdens info'!D37*Stöd!L19+Stöd!J20/'Gårdens info'!D37*Stöd!L20+Stöd!J21/'Gårdens info'!D37*Stöd!L21,0)</f>
        <v>0</v>
      </c>
      <c r="G10" s="151" t="s">
        <v>14</v>
      </c>
      <c r="H10" s="619">
        <f>IF('Gårdens info'!G15&gt;0,F10/'Gårdens info'!G15,0)</f>
        <v>0</v>
      </c>
      <c r="I10" s="151" t="s">
        <v>6</v>
      </c>
      <c r="J10" s="290">
        <f>F10*'Gårdens info'!D15</f>
        <v>0</v>
      </c>
      <c r="K10" s="151" t="s">
        <v>365</v>
      </c>
      <c r="L10" s="151"/>
      <c r="M10" s="287"/>
      <c r="N10" s="442"/>
      <c r="O10" s="151">
        <v>1</v>
      </c>
      <c r="P10" s="151" t="s">
        <v>21</v>
      </c>
      <c r="Q10" s="151" t="s">
        <v>333</v>
      </c>
      <c r="R10" s="151"/>
      <c r="S10" s="452">
        <v>0.4</v>
      </c>
      <c r="T10" s="317">
        <v>0.9</v>
      </c>
      <c r="U10" s="300" t="s">
        <v>6</v>
      </c>
    </row>
    <row r="11" spans="1:21" s="8" customFormat="1" ht="21.6" customHeight="1" thickBot="1" x14ac:dyDescent="0.45">
      <c r="A11" s="71"/>
      <c r="B11" s="932" t="s">
        <v>240</v>
      </c>
      <c r="C11" s="933"/>
      <c r="D11" s="933"/>
      <c r="E11" s="324"/>
      <c r="F11" s="328">
        <f>F9+F10</f>
        <v>0</v>
      </c>
      <c r="G11" s="329" t="s">
        <v>14</v>
      </c>
      <c r="H11" s="618">
        <f>H9+H10</f>
        <v>0</v>
      </c>
      <c r="I11" s="329" t="s">
        <v>6</v>
      </c>
      <c r="J11" s="331">
        <f>J9+J10</f>
        <v>0</v>
      </c>
      <c r="K11" s="329" t="s">
        <v>365</v>
      </c>
      <c r="L11" s="329"/>
      <c r="M11" s="321"/>
      <c r="N11" s="445"/>
      <c r="O11" s="151">
        <v>0.25</v>
      </c>
      <c r="P11" s="151" t="s">
        <v>21</v>
      </c>
      <c r="Q11" s="151" t="s">
        <v>334</v>
      </c>
      <c r="R11" s="151"/>
      <c r="S11" s="454">
        <v>0</v>
      </c>
      <c r="T11" s="317"/>
      <c r="U11" s="300" t="s">
        <v>6</v>
      </c>
    </row>
    <row r="12" spans="1:21" s="8" customFormat="1" ht="21.6" thickBot="1" x14ac:dyDescent="0.45">
      <c r="A12" s="71"/>
      <c r="B12" s="832"/>
      <c r="C12" s="833"/>
      <c r="D12" s="833"/>
      <c r="E12" s="324"/>
      <c r="F12" s="328"/>
      <c r="G12" s="329"/>
      <c r="H12" s="330"/>
      <c r="I12" s="329"/>
      <c r="J12" s="331"/>
      <c r="K12" s="329"/>
      <c r="L12" s="329"/>
      <c r="M12" s="321"/>
      <c r="N12" s="445"/>
      <c r="O12" s="151">
        <v>0.5</v>
      </c>
      <c r="P12" s="151" t="s">
        <v>21</v>
      </c>
      <c r="Q12" s="151" t="s">
        <v>333</v>
      </c>
      <c r="R12" s="151"/>
      <c r="S12" s="454">
        <v>0.4</v>
      </c>
      <c r="T12" s="317">
        <v>0.92</v>
      </c>
      <c r="U12" s="300" t="s">
        <v>6</v>
      </c>
    </row>
    <row r="13" spans="1:21" ht="22.05" customHeight="1" thickBot="1" x14ac:dyDescent="0.35">
      <c r="B13" s="292"/>
      <c r="C13" s="286"/>
      <c r="D13" s="148"/>
      <c r="E13" s="148"/>
      <c r="F13" s="148"/>
      <c r="G13" s="148"/>
      <c r="H13" s="148"/>
      <c r="I13" s="148"/>
      <c r="J13" s="293"/>
      <c r="K13" s="148"/>
      <c r="L13" s="148"/>
      <c r="M13" s="287"/>
      <c r="N13" s="442"/>
      <c r="O13" s="151">
        <v>10</v>
      </c>
      <c r="P13" s="151" t="s">
        <v>21</v>
      </c>
      <c r="Q13" s="151" t="s">
        <v>335</v>
      </c>
      <c r="R13" s="151"/>
      <c r="S13" s="454">
        <v>0.2</v>
      </c>
      <c r="T13" s="317">
        <v>0.88</v>
      </c>
      <c r="U13" s="300" t="s">
        <v>6</v>
      </c>
    </row>
    <row r="14" spans="1:21" ht="21.6" thickBot="1" x14ac:dyDescent="0.45">
      <c r="B14" s="319" t="s">
        <v>241</v>
      </c>
      <c r="C14" s="286"/>
      <c r="D14" s="148"/>
      <c r="E14" s="148"/>
      <c r="F14" s="148"/>
      <c r="G14" s="148"/>
      <c r="H14" s="148"/>
      <c r="I14" s="148"/>
      <c r="J14" s="293"/>
      <c r="K14" s="148"/>
      <c r="L14" s="148"/>
      <c r="M14" s="287"/>
      <c r="N14" s="442"/>
      <c r="O14" s="812">
        <f>D114</f>
        <v>0</v>
      </c>
      <c r="P14" s="151" t="s">
        <v>21</v>
      </c>
      <c r="Q14" s="362" t="str">
        <f>C114</f>
        <v>förpackning X</v>
      </c>
      <c r="R14" s="151"/>
      <c r="S14" s="454">
        <v>0</v>
      </c>
      <c r="T14" s="317"/>
      <c r="U14" s="300" t="s">
        <v>6</v>
      </c>
    </row>
    <row r="15" spans="1:21" s="77" customFormat="1" ht="16.95" customHeight="1" thickBot="1" x14ac:dyDescent="0.35">
      <c r="A15" s="143"/>
      <c r="B15" s="602"/>
      <c r="C15" s="306"/>
      <c r="D15" s="310"/>
      <c r="E15" s="310"/>
      <c r="F15" s="311"/>
      <c r="G15" s="153"/>
      <c r="H15" s="310"/>
      <c r="I15" s="310"/>
      <c r="J15" s="310"/>
      <c r="K15" s="310"/>
      <c r="L15" s="310"/>
      <c r="M15" s="295"/>
      <c r="N15" s="442"/>
      <c r="O15" s="812">
        <f t="shared" ref="O15:O17" si="0">D115</f>
        <v>0</v>
      </c>
      <c r="P15" s="151" t="s">
        <v>21</v>
      </c>
      <c r="Q15" s="362" t="str">
        <f t="shared" ref="Q15:Q17" si="1">C115</f>
        <v>förpackning X</v>
      </c>
      <c r="R15" s="151"/>
      <c r="S15" s="454">
        <v>0</v>
      </c>
      <c r="T15" s="317"/>
      <c r="U15" s="300" t="s">
        <v>6</v>
      </c>
    </row>
    <row r="16" spans="1:21" s="91" customFormat="1" ht="16.95" customHeight="1" thickBot="1" x14ac:dyDescent="0.3">
      <c r="A16" s="143"/>
      <c r="B16" s="602"/>
      <c r="C16" s="289" t="s">
        <v>243</v>
      </c>
      <c r="D16" s="297"/>
      <c r="E16" s="297"/>
      <c r="F16" s="308">
        <f>IF('Gårdens info'!D15&gt;0,J73,0)</f>
        <v>0</v>
      </c>
      <c r="G16" s="151" t="s">
        <v>14</v>
      </c>
      <c r="H16" s="614">
        <f>IF('Gårdens info'!$G$15&gt;0,F16/'Gårdens info'!$G$15,0)</f>
        <v>0</v>
      </c>
      <c r="I16" s="151" t="s">
        <v>6</v>
      </c>
      <c r="J16" s="298">
        <f>F16*'Gårdens info'!$D$15</f>
        <v>0</v>
      </c>
      <c r="K16" s="151" t="s">
        <v>365</v>
      </c>
      <c r="L16" s="297"/>
      <c r="M16" s="300"/>
      <c r="N16" s="288"/>
      <c r="O16" s="812">
        <f t="shared" si="0"/>
        <v>0</v>
      </c>
      <c r="P16" s="151" t="s">
        <v>21</v>
      </c>
      <c r="Q16" s="362" t="str">
        <f t="shared" si="1"/>
        <v>förpackning X</v>
      </c>
      <c r="R16" s="151"/>
      <c r="S16" s="454">
        <v>0</v>
      </c>
      <c r="T16" s="317"/>
      <c r="U16" s="300" t="s">
        <v>6</v>
      </c>
    </row>
    <row r="17" spans="1:29" s="91" customFormat="1" ht="15.6" thickBot="1" x14ac:dyDescent="0.3">
      <c r="A17" s="143"/>
      <c r="B17" s="296"/>
      <c r="C17" s="289" t="s">
        <v>244</v>
      </c>
      <c r="D17" s="297"/>
      <c r="E17" s="297"/>
      <c r="F17" s="298">
        <f>IF('Gårdens info'!D15&gt;0,J84,0)</f>
        <v>0</v>
      </c>
      <c r="G17" s="151" t="s">
        <v>14</v>
      </c>
      <c r="H17" s="614">
        <f>IF('Gårdens info'!$G$15&gt;0,F17/'Gårdens info'!$G$15,0)</f>
        <v>0</v>
      </c>
      <c r="I17" s="151" t="s">
        <v>6</v>
      </c>
      <c r="J17" s="298">
        <f>F17*'Gårdens info'!$D$15</f>
        <v>0</v>
      </c>
      <c r="K17" s="151" t="s">
        <v>365</v>
      </c>
      <c r="L17" s="297"/>
      <c r="M17" s="300"/>
      <c r="N17" s="442"/>
      <c r="O17" s="812">
        <f t="shared" si="0"/>
        <v>0</v>
      </c>
      <c r="P17" s="151" t="s">
        <v>21</v>
      </c>
      <c r="Q17" s="362" t="str">
        <f t="shared" si="1"/>
        <v>förpackning X</v>
      </c>
      <c r="R17" s="151"/>
      <c r="S17" s="454">
        <v>0</v>
      </c>
      <c r="T17" s="317"/>
      <c r="U17" s="300" t="s">
        <v>6</v>
      </c>
    </row>
    <row r="18" spans="1:29" s="91" customFormat="1" ht="17.399999999999999" x14ac:dyDescent="0.3">
      <c r="A18" s="143"/>
      <c r="B18" s="296"/>
      <c r="C18" s="289" t="s">
        <v>245</v>
      </c>
      <c r="D18" s="297"/>
      <c r="E18" s="297"/>
      <c r="F18" s="298">
        <f>IF('Gårdens info'!D15&gt;0,J105,0)</f>
        <v>0</v>
      </c>
      <c r="G18" s="151" t="s">
        <v>14</v>
      </c>
      <c r="H18" s="614">
        <f>IF('Gårdens info'!$G$15&gt;0,F18/'Gårdens info'!$G$15,0)</f>
        <v>0</v>
      </c>
      <c r="I18" s="151" t="s">
        <v>6</v>
      </c>
      <c r="J18" s="298">
        <f>F18*'Gårdens info'!$D$15</f>
        <v>0</v>
      </c>
      <c r="K18" s="151" t="s">
        <v>365</v>
      </c>
      <c r="L18" s="297"/>
      <c r="M18" s="300"/>
      <c r="N18" s="446"/>
      <c r="O18" s="946" t="s">
        <v>196</v>
      </c>
      <c r="P18" s="946"/>
      <c r="Q18" s="946"/>
      <c r="R18" s="153"/>
      <c r="S18" s="450">
        <f>SUM(S10:S17)</f>
        <v>1</v>
      </c>
      <c r="T18" s="153"/>
      <c r="U18" s="295"/>
    </row>
    <row r="19" spans="1:29" s="91" customFormat="1" ht="15.6" x14ac:dyDescent="0.3">
      <c r="A19" s="143"/>
      <c r="B19" s="296"/>
      <c r="C19" s="289" t="s">
        <v>246</v>
      </c>
      <c r="D19" s="297"/>
      <c r="E19" s="297"/>
      <c r="F19" s="298">
        <f>IF('Gårdens info'!D10&gt;0,J118,0)</f>
        <v>0</v>
      </c>
      <c r="G19" s="151" t="s">
        <v>14</v>
      </c>
      <c r="H19" s="614">
        <f>IF('Gårdens info'!$G$15&gt;0,F19/'Gårdens info'!$G$15,0)</f>
        <v>0</v>
      </c>
      <c r="I19" s="151" t="s">
        <v>6</v>
      </c>
      <c r="J19" s="298">
        <f>F19*'Gårdens info'!$D$15</f>
        <v>0</v>
      </c>
      <c r="K19" s="151" t="s">
        <v>365</v>
      </c>
      <c r="L19" s="297"/>
      <c r="M19" s="300"/>
      <c r="N19" s="288"/>
      <c r="O19" s="451" t="str">
        <f>IF(S18=100%," ","HUOM! Osuus myyynneistä pitää summautua 100 prosenttiin")</f>
        <v xml:space="preserve"> </v>
      </c>
      <c r="P19" s="151"/>
      <c r="R19" s="151"/>
      <c r="S19" s="151"/>
      <c r="T19" s="151"/>
      <c r="U19" s="300"/>
    </row>
    <row r="20" spans="1:29" s="91" customFormat="1" ht="15.6" thickBot="1" x14ac:dyDescent="0.3">
      <c r="A20" s="143"/>
      <c r="B20" s="296"/>
      <c r="C20" s="289" t="s">
        <v>247</v>
      </c>
      <c r="D20" s="297"/>
      <c r="E20" s="297"/>
      <c r="F20" s="298">
        <f>IF('Gårdens info'!D15&gt;0,122,0)</f>
        <v>0</v>
      </c>
      <c r="G20" s="151" t="s">
        <v>14</v>
      </c>
      <c r="H20" s="614">
        <f>IF('Gårdens info'!$G$15&gt;0,F20/'Gårdens info'!$G$15,0)</f>
        <v>0</v>
      </c>
      <c r="I20" s="151" t="s">
        <v>6</v>
      </c>
      <c r="J20" s="298">
        <f>F20*'Gårdens info'!$D$15</f>
        <v>0</v>
      </c>
      <c r="K20" s="151" t="s">
        <v>365</v>
      </c>
      <c r="L20" s="297"/>
      <c r="M20" s="300"/>
      <c r="N20" s="447"/>
      <c r="O20" s="448"/>
      <c r="P20" s="448"/>
      <c r="Q20" s="448"/>
      <c r="R20" s="448"/>
      <c r="S20" s="448"/>
      <c r="T20" s="448"/>
      <c r="U20" s="449"/>
    </row>
    <row r="21" spans="1:29" s="91" customFormat="1" ht="15" x14ac:dyDescent="0.25">
      <c r="A21" s="143"/>
      <c r="B21" s="296"/>
      <c r="C21" s="289" t="s">
        <v>248</v>
      </c>
      <c r="D21" s="297"/>
      <c r="E21" s="297"/>
      <c r="F21" s="298">
        <f>IF('Gårdens info'!D15&gt;0,J134,0)</f>
        <v>0</v>
      </c>
      <c r="G21" s="151" t="s">
        <v>14</v>
      </c>
      <c r="H21" s="614">
        <f>IF('Gårdens info'!$G$15&gt;0,F21/'Gårdens info'!$G$15,0)</f>
        <v>0</v>
      </c>
      <c r="I21" s="151" t="s">
        <v>6</v>
      </c>
      <c r="J21" s="298">
        <f>F21*'Gårdens info'!$D$15</f>
        <v>0</v>
      </c>
      <c r="K21" s="151" t="s">
        <v>365</v>
      </c>
      <c r="L21" s="297"/>
      <c r="M21" s="300"/>
    </row>
    <row r="22" spans="1:29" s="91" customFormat="1" ht="15" x14ac:dyDescent="0.25">
      <c r="A22" s="143"/>
      <c r="B22" s="296"/>
      <c r="C22" s="289" t="s">
        <v>249</v>
      </c>
      <c r="D22" s="297"/>
      <c r="E22" s="297"/>
      <c r="F22" s="298">
        <f>IF('Gårdens info'!D15&gt;0,J146,0)</f>
        <v>0</v>
      </c>
      <c r="G22" s="151" t="s">
        <v>14</v>
      </c>
      <c r="H22" s="614">
        <f>IF('Gårdens info'!$G$15&gt;0,F22/'Gårdens info'!$G$15,0)</f>
        <v>0</v>
      </c>
      <c r="I22" s="151" t="s">
        <v>6</v>
      </c>
      <c r="J22" s="298">
        <f>F22*'Gårdens info'!$D$15</f>
        <v>0</v>
      </c>
      <c r="K22" s="151" t="s">
        <v>365</v>
      </c>
      <c r="L22" s="297"/>
      <c r="M22" s="300"/>
    </row>
    <row r="23" spans="1:29" s="91" customFormat="1" ht="15" x14ac:dyDescent="0.25">
      <c r="A23" s="143"/>
      <c r="B23" s="296"/>
      <c r="C23" s="289" t="s">
        <v>250</v>
      </c>
      <c r="D23" s="297"/>
      <c r="E23" s="297"/>
      <c r="F23" s="298">
        <f>IF('Gårdens info'!D15&gt;0,L173,0)</f>
        <v>0</v>
      </c>
      <c r="G23" s="151" t="s">
        <v>14</v>
      </c>
      <c r="H23" s="614">
        <f>IF('Gårdens info'!$G$15&gt;0,F23/'Gårdens info'!$G$15,0)</f>
        <v>0</v>
      </c>
      <c r="I23" s="151" t="s">
        <v>6</v>
      </c>
      <c r="J23" s="298">
        <f>F23*'Gårdens info'!$D$15</f>
        <v>0</v>
      </c>
      <c r="K23" s="151" t="s">
        <v>365</v>
      </c>
      <c r="L23" s="297"/>
      <c r="M23" s="300"/>
    </row>
    <row r="24" spans="1:29" ht="15.6" x14ac:dyDescent="0.3">
      <c r="B24" s="312"/>
      <c r="C24" s="301" t="s">
        <v>196</v>
      </c>
      <c r="D24" s="302"/>
      <c r="E24" s="302"/>
      <c r="F24" s="303">
        <f>SUM(F16:F23)</f>
        <v>0</v>
      </c>
      <c r="G24" s="304" t="s">
        <v>14</v>
      </c>
      <c r="H24" s="615">
        <f>SUM(H16:H23)</f>
        <v>0</v>
      </c>
      <c r="I24" s="304" t="s">
        <v>6</v>
      </c>
      <c r="J24" s="303">
        <f>SUM(J16:J23)</f>
        <v>0</v>
      </c>
      <c r="K24" s="304" t="s">
        <v>365</v>
      </c>
      <c r="L24" s="302"/>
      <c r="M24" s="313"/>
      <c r="N24" s="91"/>
      <c r="O24" s="91"/>
      <c r="P24" s="91"/>
      <c r="Q24" s="91"/>
      <c r="R24" s="91"/>
      <c r="S24" s="91"/>
      <c r="T24" s="91"/>
      <c r="U24" s="91"/>
    </row>
    <row r="25" spans="1:29" s="77" customFormat="1" ht="17.399999999999999" x14ac:dyDescent="0.3">
      <c r="A25" s="770"/>
      <c r="B25" s="292"/>
      <c r="C25" s="306"/>
      <c r="D25" s="307"/>
      <c r="E25" s="307"/>
      <c r="F25" s="308"/>
      <c r="G25" s="151"/>
      <c r="H25" s="616"/>
      <c r="I25" s="307"/>
      <c r="J25" s="307"/>
      <c r="K25" s="307"/>
      <c r="L25" s="307"/>
      <c r="M25" s="287"/>
      <c r="N25" s="91"/>
      <c r="O25" s="91"/>
      <c r="P25" s="91"/>
      <c r="R25" s="91"/>
      <c r="S25" s="91"/>
      <c r="T25" s="91"/>
      <c r="U25" s="91"/>
      <c r="AB25" s="551" t="s">
        <v>74</v>
      </c>
      <c r="AC25" s="678">
        <f>F16</f>
        <v>0</v>
      </c>
    </row>
    <row r="26" spans="1:29" s="91" customFormat="1" ht="17.399999999999999" customHeight="1" x14ac:dyDescent="0.3">
      <c r="A26" s="143"/>
      <c r="B26" s="947" t="s">
        <v>346</v>
      </c>
      <c r="C26" s="948"/>
      <c r="D26" s="948"/>
      <c r="E26" s="948"/>
      <c r="F26" s="325">
        <f>IF('Gårdens info'!D15&gt;0,J26/'Gårdens info'!D15,0)</f>
        <v>0</v>
      </c>
      <c r="G26" s="304" t="s">
        <v>14</v>
      </c>
      <c r="H26" s="617">
        <f>IF('Gårdens info'!G15&gt;0,F26/'Gårdens info'!G15,0)</f>
        <v>0</v>
      </c>
      <c r="I26" s="304" t="s">
        <v>6</v>
      </c>
      <c r="J26" s="320">
        <f>'Gårdens info'!G147/'Gårdens info'!D37*'Gårdens info'!D15</f>
        <v>0</v>
      </c>
      <c r="K26" s="304" t="s">
        <v>365</v>
      </c>
      <c r="L26" s="327"/>
      <c r="M26" s="321"/>
      <c r="N26"/>
      <c r="O26"/>
      <c r="P26"/>
      <c r="S26"/>
      <c r="T26"/>
      <c r="U26"/>
      <c r="AB26" s="457" t="str">
        <f t="shared" ref="AB26:AB32" si="2">C17</f>
        <v>Gödsel och kalk</v>
      </c>
      <c r="AC26" s="678">
        <f t="shared" ref="AC26:AC32" si="3">F17</f>
        <v>0</v>
      </c>
    </row>
    <row r="27" spans="1:29" s="91" customFormat="1" ht="17.399999999999999" customHeight="1" x14ac:dyDescent="0.3">
      <c r="A27" s="143"/>
      <c r="B27" s="949" t="s">
        <v>347</v>
      </c>
      <c r="C27" s="950"/>
      <c r="D27" s="950"/>
      <c r="E27" s="950"/>
      <c r="F27" s="325">
        <f>'Gårdens info'!$G$42*'Gårdens info'!$D$42/'Gårdens info'!$D$37*'Gårdens info'!D15</f>
        <v>0</v>
      </c>
      <c r="G27" s="304" t="s">
        <v>14</v>
      </c>
      <c r="H27" s="617">
        <f>IF('Gårdens info'!G15&gt;0,F27/'Gårdens info'!G15,0)</f>
        <v>0</v>
      </c>
      <c r="I27" s="304" t="s">
        <v>6</v>
      </c>
      <c r="J27" s="320">
        <f>F27*'Gårdens info'!D15</f>
        <v>0</v>
      </c>
      <c r="K27" s="304" t="s">
        <v>365</v>
      </c>
      <c r="L27" s="327"/>
      <c r="M27" s="321"/>
      <c r="N27" s="77"/>
      <c r="O27" s="77"/>
      <c r="P27" s="77"/>
      <c r="S27" s="77"/>
      <c r="T27" s="77"/>
      <c r="U27" s="77"/>
      <c r="AB27" s="457" t="str">
        <f t="shared" si="2"/>
        <v>IPM Växtskydd</v>
      </c>
      <c r="AC27" s="678">
        <f t="shared" si="3"/>
        <v>0</v>
      </c>
    </row>
    <row r="28" spans="1:29" s="91" customFormat="1" ht="21" customHeight="1" x14ac:dyDescent="0.4">
      <c r="A28" s="143"/>
      <c r="B28" s="932" t="s">
        <v>226</v>
      </c>
      <c r="C28" s="933"/>
      <c r="D28" s="933"/>
      <c r="E28" s="324"/>
      <c r="F28" s="328">
        <f>F24+F26+F27</f>
        <v>0</v>
      </c>
      <c r="G28" s="329" t="s">
        <v>14</v>
      </c>
      <c r="H28" s="618">
        <f>H24+H26+H27</f>
        <v>0</v>
      </c>
      <c r="I28" s="329" t="s">
        <v>6</v>
      </c>
      <c r="J28" s="331">
        <f>J24+J26+J27</f>
        <v>0</v>
      </c>
      <c r="K28" s="329" t="s">
        <v>365</v>
      </c>
      <c r="L28" s="329"/>
      <c r="M28" s="321"/>
      <c r="AB28" s="457" t="str">
        <f t="shared" si="2"/>
        <v>Packningsmaterial</v>
      </c>
      <c r="AC28" s="678">
        <f t="shared" si="3"/>
        <v>0</v>
      </c>
    </row>
    <row r="29" spans="1:29" s="91" customFormat="1" ht="21" x14ac:dyDescent="0.4">
      <c r="A29" s="143"/>
      <c r="B29" s="832"/>
      <c r="C29" s="833"/>
      <c r="D29" s="833"/>
      <c r="E29" s="324"/>
      <c r="F29" s="328"/>
      <c r="G29" s="329"/>
      <c r="H29" s="330"/>
      <c r="I29" s="329"/>
      <c r="J29" s="331"/>
      <c r="K29" s="329"/>
      <c r="L29" s="329"/>
      <c r="M29" s="321"/>
      <c r="AB29" s="457" t="str">
        <f t="shared" si="2"/>
        <v>Fraktkostnader</v>
      </c>
      <c r="AC29" s="678">
        <f t="shared" si="3"/>
        <v>0</v>
      </c>
    </row>
    <row r="30" spans="1:29" s="91" customFormat="1" ht="21" x14ac:dyDescent="0.4">
      <c r="A30" s="143"/>
      <c r="B30" s="319" t="s">
        <v>348</v>
      </c>
      <c r="C30" s="286"/>
      <c r="D30" s="148"/>
      <c r="E30" s="148"/>
      <c r="F30" s="148"/>
      <c r="G30" s="148"/>
      <c r="H30" s="148"/>
      <c r="I30" s="148"/>
      <c r="J30" s="293"/>
      <c r="K30" s="148"/>
      <c r="L30" s="148"/>
      <c r="M30" s="287"/>
      <c r="AB30" s="457" t="str">
        <f t="shared" si="2"/>
        <v>Maskinkostnader och entreprenad</v>
      </c>
      <c r="AC30" s="678">
        <f t="shared" si="3"/>
        <v>0</v>
      </c>
    </row>
    <row r="31" spans="1:29" s="91" customFormat="1" ht="21" customHeight="1" x14ac:dyDescent="0.4">
      <c r="A31" s="143"/>
      <c r="B31" s="947" t="s">
        <v>149</v>
      </c>
      <c r="C31" s="948"/>
      <c r="D31" s="833"/>
      <c r="E31" s="324"/>
      <c r="F31" s="328"/>
      <c r="G31" s="329"/>
      <c r="H31" s="330"/>
      <c r="I31" s="329"/>
      <c r="J31" s="331"/>
      <c r="K31" s="329"/>
      <c r="L31" s="329"/>
      <c r="M31" s="321"/>
      <c r="AB31" s="457" t="str">
        <f t="shared" si="2"/>
        <v>Energikostnader</v>
      </c>
      <c r="AC31" s="678">
        <f t="shared" si="3"/>
        <v>0</v>
      </c>
    </row>
    <row r="32" spans="1:29" s="91" customFormat="1" ht="21" x14ac:dyDescent="0.4">
      <c r="A32" s="143"/>
      <c r="B32" s="350"/>
      <c r="C32" s="838" t="s">
        <v>264</v>
      </c>
      <c r="D32" s="833"/>
      <c r="E32" s="324"/>
      <c r="F32" s="338">
        <f>IF('Gårdens info'!$D$15&gt;0,J32/'Gårdens info'!$D$15,0)</f>
        <v>0</v>
      </c>
      <c r="G32" s="151" t="s">
        <v>14</v>
      </c>
      <c r="H32" s="613">
        <f>IF('Gårdens info'!$G$15&gt;0,F32/'Gårdens info'!$G$15,0)</f>
        <v>0</v>
      </c>
      <c r="I32" s="151" t="s">
        <v>6</v>
      </c>
      <c r="J32" s="298">
        <f>Ägendom!AN22</f>
        <v>0</v>
      </c>
      <c r="K32" s="151" t="s">
        <v>365</v>
      </c>
      <c r="L32" s="329"/>
      <c r="M32" s="321"/>
      <c r="AB32" s="457" t="str">
        <f t="shared" si="2"/>
        <v>Anställd arbetskraft</v>
      </c>
      <c r="AC32" s="678">
        <f t="shared" si="3"/>
        <v>0</v>
      </c>
    </row>
    <row r="33" spans="1:29" s="236" customFormat="1" ht="21" x14ac:dyDescent="0.4">
      <c r="A33" s="771"/>
      <c r="B33" s="350"/>
      <c r="C33" s="838" t="s">
        <v>265</v>
      </c>
      <c r="D33" s="833"/>
      <c r="E33" s="324"/>
      <c r="F33" s="338">
        <f>IF('Gårdens info'!$D$15&gt;0,J33/'Gårdens info'!$D$15,0)</f>
        <v>0</v>
      </c>
      <c r="G33" s="151" t="s">
        <v>14</v>
      </c>
      <c r="H33" s="613">
        <f>IF('Gårdens info'!$G$15&gt;0,F33/'Gårdens info'!$G$15,0)</f>
        <v>0</v>
      </c>
      <c r="I33" s="151" t="s">
        <v>6</v>
      </c>
      <c r="J33" s="298">
        <f>Ägendom!BJ22</f>
        <v>0</v>
      </c>
      <c r="K33" s="151" t="s">
        <v>365</v>
      </c>
      <c r="L33" s="329"/>
      <c r="M33" s="321"/>
      <c r="N33" s="91"/>
      <c r="O33" s="91"/>
      <c r="P33" s="91"/>
      <c r="S33" s="91"/>
      <c r="T33" s="91"/>
      <c r="U33" s="91"/>
      <c r="AB33" s="459" t="s">
        <v>17</v>
      </c>
      <c r="AC33" s="459">
        <f>F26</f>
        <v>0</v>
      </c>
    </row>
    <row r="34" spans="1:29" ht="17.399999999999999" customHeight="1" x14ac:dyDescent="0.3">
      <c r="B34" s="350"/>
      <c r="C34" s="941" t="s">
        <v>266</v>
      </c>
      <c r="D34" s="941"/>
      <c r="E34" s="324"/>
      <c r="F34" s="338">
        <f>IF('Gårdens info'!$D$15&gt;0,J34/'Gårdens info'!$D$15,0)</f>
        <v>0</v>
      </c>
      <c r="G34" s="151" t="s">
        <v>14</v>
      </c>
      <c r="H34" s="613">
        <f>IF('Gårdens info'!$G$15&gt;0,F34/'Gårdens info'!$G$15,0)</f>
        <v>0</v>
      </c>
      <c r="I34" s="151" t="s">
        <v>6</v>
      </c>
      <c r="J34" s="298">
        <f>Ägendom!CF22</f>
        <v>0</v>
      </c>
      <c r="K34" s="151" t="s">
        <v>365</v>
      </c>
      <c r="L34" s="329"/>
      <c r="M34" s="321"/>
      <c r="N34" s="91"/>
      <c r="O34" s="91"/>
      <c r="P34" s="91"/>
      <c r="S34" s="91"/>
      <c r="T34" s="91"/>
      <c r="U34" s="91"/>
      <c r="AB34" s="457" t="s">
        <v>51</v>
      </c>
      <c r="AC34" s="459">
        <f>F27</f>
        <v>0</v>
      </c>
    </row>
    <row r="35" spans="1:29" ht="21" x14ac:dyDescent="0.4">
      <c r="B35" s="350"/>
      <c r="C35" s="838" t="s">
        <v>267</v>
      </c>
      <c r="D35" s="833"/>
      <c r="E35" s="324"/>
      <c r="F35" s="338">
        <f>IF('Gårdens info'!$D$15&gt;0,J35/'Gårdens info'!$D$15,0)</f>
        <v>0</v>
      </c>
      <c r="G35" s="151" t="s">
        <v>14</v>
      </c>
      <c r="H35" s="613">
        <f>IF('Gårdens info'!$G$15&gt;0,F35/'Gårdens info'!$G$15,0)</f>
        <v>0</v>
      </c>
      <c r="I35" s="151" t="s">
        <v>6</v>
      </c>
      <c r="J35" s="298">
        <f>Ägendom!DB22</f>
        <v>0</v>
      </c>
      <c r="K35" s="151" t="s">
        <v>365</v>
      </c>
      <c r="L35" s="329"/>
      <c r="M35" s="321"/>
      <c r="N35" s="236"/>
      <c r="O35" s="236"/>
      <c r="P35" s="236"/>
      <c r="S35" s="236"/>
      <c r="T35" s="236"/>
      <c r="U35" s="236"/>
      <c r="AB35" s="457" t="s">
        <v>12</v>
      </c>
      <c r="AC35" s="460">
        <f>F36</f>
        <v>0</v>
      </c>
    </row>
    <row r="36" spans="1:29" ht="20.399999999999999" x14ac:dyDescent="0.35">
      <c r="B36" s="352"/>
      <c r="C36" s="340" t="s">
        <v>196</v>
      </c>
      <c r="D36" s="341"/>
      <c r="E36" s="324"/>
      <c r="F36" s="342">
        <f>SUM(F32:F35)</f>
        <v>0</v>
      </c>
      <c r="G36" s="151" t="s">
        <v>14</v>
      </c>
      <c r="H36" s="727">
        <f>SUM(H32:H35)</f>
        <v>0</v>
      </c>
      <c r="I36" s="151" t="s">
        <v>6</v>
      </c>
      <c r="J36" s="342">
        <f t="shared" ref="J36" si="4">SUM(J32:J35)</f>
        <v>0</v>
      </c>
      <c r="K36" s="151" t="s">
        <v>365</v>
      </c>
      <c r="L36" s="343"/>
      <c r="M36" s="321"/>
      <c r="AB36" s="457" t="s">
        <v>13</v>
      </c>
      <c r="AC36" s="461">
        <f>F43</f>
        <v>0</v>
      </c>
    </row>
    <row r="37" spans="1:29" s="91" customFormat="1" ht="21" x14ac:dyDescent="0.4">
      <c r="A37" s="143"/>
      <c r="B37" s="350"/>
      <c r="C37" s="838"/>
      <c r="D37" s="833"/>
      <c r="E37" s="324"/>
      <c r="F37" s="338"/>
      <c r="G37" s="151"/>
      <c r="H37" s="339"/>
      <c r="I37" s="151"/>
      <c r="J37" s="298"/>
      <c r="K37" s="151"/>
      <c r="L37" s="329"/>
      <c r="M37" s="321"/>
      <c r="N37"/>
      <c r="O37"/>
      <c r="P37"/>
      <c r="S37"/>
      <c r="T37"/>
      <c r="U37"/>
      <c r="AB37" s="457" t="s">
        <v>50</v>
      </c>
      <c r="AC37" s="461">
        <f>F50</f>
        <v>0</v>
      </c>
    </row>
    <row r="38" spans="1:29" s="91" customFormat="1" ht="17.399999999999999" customHeight="1" x14ac:dyDescent="0.3">
      <c r="A38" s="143"/>
      <c r="B38" s="947" t="s">
        <v>150</v>
      </c>
      <c r="C38" s="948"/>
      <c r="D38" s="948"/>
      <c r="E38" s="324"/>
      <c r="F38" s="338"/>
      <c r="G38" s="151"/>
      <c r="H38" s="339"/>
      <c r="I38" s="151"/>
      <c r="J38" s="298"/>
      <c r="K38" s="151"/>
      <c r="L38" s="329"/>
      <c r="M38" s="321"/>
      <c r="N38"/>
      <c r="O38"/>
      <c r="P38"/>
      <c r="S38"/>
      <c r="T38"/>
      <c r="U38"/>
      <c r="AB38" s="457" t="s">
        <v>23</v>
      </c>
      <c r="AC38" s="461">
        <f>F56</f>
        <v>0</v>
      </c>
    </row>
    <row r="39" spans="1:29" s="91" customFormat="1" ht="21" x14ac:dyDescent="0.4">
      <c r="A39" s="143"/>
      <c r="B39" s="350"/>
      <c r="C39" s="838" t="s">
        <v>264</v>
      </c>
      <c r="D39" s="833"/>
      <c r="E39" s="324"/>
      <c r="F39" s="338">
        <f>IF('Gårdens info'!$D$15&gt;0,J39/'Gårdens info'!$D$15,0)</f>
        <v>0</v>
      </c>
      <c r="G39" s="151" t="s">
        <v>14</v>
      </c>
      <c r="H39" s="613">
        <f>IF('Gårdens info'!$G$15&gt;0,F39/'Gårdens info'!$G$15,0)</f>
        <v>0</v>
      </c>
      <c r="I39" s="151" t="s">
        <v>6</v>
      </c>
      <c r="J39" s="298">
        <f>Ägendom!AN51</f>
        <v>0</v>
      </c>
      <c r="K39" s="151" t="s">
        <v>365</v>
      </c>
      <c r="L39" s="329"/>
      <c r="M39" s="321"/>
      <c r="AB39" s="457" t="s">
        <v>44</v>
      </c>
      <c r="AC39" s="459">
        <f>F62</f>
        <v>0</v>
      </c>
    </row>
    <row r="40" spans="1:29" s="8" customFormat="1" ht="21" x14ac:dyDescent="0.4">
      <c r="A40" s="71"/>
      <c r="B40" s="350"/>
      <c r="C40" s="838" t="s">
        <v>265</v>
      </c>
      <c r="D40" s="833"/>
      <c r="E40" s="324"/>
      <c r="F40" s="338">
        <f>IF('Gårdens info'!$D$15&gt;0,J40/'Gårdens info'!$D$15,0)</f>
        <v>0</v>
      </c>
      <c r="G40" s="151" t="s">
        <v>14</v>
      </c>
      <c r="H40" s="613">
        <f>IF('Gårdens info'!$G$15&gt;0,F40/'Gårdens info'!$G$15,0)</f>
        <v>0</v>
      </c>
      <c r="I40" s="151" t="s">
        <v>6</v>
      </c>
      <c r="J40" s="298">
        <f>Ägendom!BJ51</f>
        <v>0</v>
      </c>
      <c r="K40" s="151" t="s">
        <v>365</v>
      </c>
      <c r="L40" s="329"/>
      <c r="M40" s="321"/>
      <c r="N40" s="91"/>
      <c r="O40" s="91"/>
      <c r="P40" s="91"/>
      <c r="Q40" s="91"/>
      <c r="R40" s="91"/>
      <c r="S40" s="91"/>
      <c r="T40" s="91"/>
      <c r="U40" s="91"/>
    </row>
    <row r="41" spans="1:29" s="8" customFormat="1" ht="17.399999999999999" customHeight="1" x14ac:dyDescent="0.3">
      <c r="A41" s="71"/>
      <c r="B41" s="350"/>
      <c r="C41" s="941" t="s">
        <v>266</v>
      </c>
      <c r="D41" s="941"/>
      <c r="E41" s="324"/>
      <c r="F41" s="338">
        <f>IF('Gårdens info'!$D$15&gt;0,J41/'Gårdens info'!$D$15,0)</f>
        <v>0</v>
      </c>
      <c r="G41" s="151" t="s">
        <v>14</v>
      </c>
      <c r="H41" s="613">
        <f>IF('Gårdens info'!$G$15&gt;0,F41/'Gårdens info'!$G$15,0)</f>
        <v>0</v>
      </c>
      <c r="I41" s="151" t="s">
        <v>6</v>
      </c>
      <c r="J41" s="298">
        <f>Ägendom!CF51</f>
        <v>0</v>
      </c>
      <c r="K41" s="151" t="s">
        <v>365</v>
      </c>
      <c r="L41" s="329"/>
      <c r="M41" s="321"/>
      <c r="N41" s="91"/>
      <c r="O41" s="91"/>
      <c r="P41" s="91"/>
      <c r="Q41" s="91"/>
      <c r="R41" s="91"/>
      <c r="S41" s="91"/>
      <c r="T41" s="91"/>
      <c r="U41" s="91"/>
    </row>
    <row r="42" spans="1:29" s="8" customFormat="1" ht="21" x14ac:dyDescent="0.4">
      <c r="A42" s="71"/>
      <c r="B42" s="350"/>
      <c r="C42" s="838" t="s">
        <v>267</v>
      </c>
      <c r="D42" s="833"/>
      <c r="E42" s="324"/>
      <c r="F42" s="338">
        <f>IF('Gårdens info'!$D$15&gt;0,J42/'Gårdens info'!$D$15,0)</f>
        <v>0</v>
      </c>
      <c r="G42" s="151" t="s">
        <v>14</v>
      </c>
      <c r="H42" s="613">
        <f>IF('Gårdens info'!$G$15&gt;0,F42/'Gårdens info'!$G$15,0)</f>
        <v>0</v>
      </c>
      <c r="I42" s="151" t="s">
        <v>6</v>
      </c>
      <c r="J42" s="298">
        <f>Ägendom!DB51</f>
        <v>0</v>
      </c>
      <c r="K42" s="151" t="s">
        <v>365</v>
      </c>
      <c r="L42" s="329"/>
      <c r="M42" s="321"/>
    </row>
    <row r="43" spans="1:29" s="8" customFormat="1" ht="20.399999999999999" x14ac:dyDescent="0.35">
      <c r="A43" s="71"/>
      <c r="B43" s="352"/>
      <c r="C43" s="340" t="s">
        <v>196</v>
      </c>
      <c r="D43" s="341"/>
      <c r="E43" s="324"/>
      <c r="F43" s="342">
        <f>SUM(F39:F42)</f>
        <v>0</v>
      </c>
      <c r="G43" s="151" t="s">
        <v>14</v>
      </c>
      <c r="H43" s="727">
        <f>SUM(H39:H42)</f>
        <v>0</v>
      </c>
      <c r="I43" s="151" t="s">
        <v>6</v>
      </c>
      <c r="J43" s="342">
        <f t="shared" ref="J43" si="5">SUM(J39:J42)</f>
        <v>0</v>
      </c>
      <c r="K43" s="151" t="s">
        <v>365</v>
      </c>
      <c r="L43" s="343"/>
      <c r="M43" s="321"/>
    </row>
    <row r="44" spans="1:29" s="8" customFormat="1" ht="21" x14ac:dyDescent="0.4">
      <c r="A44" s="71"/>
      <c r="B44" s="350"/>
      <c r="C44" s="838"/>
      <c r="D44" s="833"/>
      <c r="E44" s="324"/>
      <c r="F44" s="338"/>
      <c r="G44" s="151"/>
      <c r="H44" s="339"/>
      <c r="I44" s="151"/>
      <c r="J44" s="298"/>
      <c r="K44" s="151"/>
      <c r="L44" s="329"/>
      <c r="M44" s="321"/>
    </row>
    <row r="45" spans="1:29" s="8" customFormat="1" ht="43.05" customHeight="1" x14ac:dyDescent="0.3">
      <c r="A45" s="71"/>
      <c r="B45" s="947" t="s">
        <v>151</v>
      </c>
      <c r="C45" s="948"/>
      <c r="D45" s="948"/>
      <c r="E45" s="324"/>
      <c r="F45" s="338"/>
      <c r="G45" s="151"/>
      <c r="H45" s="339"/>
      <c r="I45" s="151"/>
      <c r="J45" s="298"/>
      <c r="K45" s="151"/>
      <c r="L45" s="329"/>
      <c r="M45" s="321"/>
    </row>
    <row r="46" spans="1:29" ht="21" x14ac:dyDescent="0.4">
      <c r="B46" s="350"/>
      <c r="C46" s="838" t="s">
        <v>264</v>
      </c>
      <c r="D46" s="833"/>
      <c r="E46" s="324"/>
      <c r="F46" s="338">
        <f>IF('Gårdens info'!$D$15&gt;0,J46/'Gårdens info'!$D$15,0)</f>
        <v>0</v>
      </c>
      <c r="G46" s="151" t="s">
        <v>14</v>
      </c>
      <c r="H46" s="613">
        <f>IF('Gårdens info'!$G$15&gt;0,F46/'Gårdens info'!$G$15,0)</f>
        <v>0</v>
      </c>
      <c r="I46" s="151" t="s">
        <v>6</v>
      </c>
      <c r="J46" s="298">
        <f>Ägendom!AN76</f>
        <v>0</v>
      </c>
      <c r="K46" s="151" t="s">
        <v>365</v>
      </c>
      <c r="L46" s="329"/>
      <c r="M46" s="321"/>
      <c r="N46" s="8"/>
      <c r="O46" s="8"/>
      <c r="P46" s="8"/>
      <c r="Q46" s="8"/>
      <c r="R46" s="8"/>
      <c r="S46" s="8"/>
      <c r="T46" s="8"/>
      <c r="U46" s="8"/>
    </row>
    <row r="47" spans="1:29" s="8" customFormat="1" ht="21" x14ac:dyDescent="0.4">
      <c r="A47" s="71"/>
      <c r="B47" s="350"/>
      <c r="C47" s="838" t="s">
        <v>265</v>
      </c>
      <c r="D47" s="833"/>
      <c r="E47" s="324"/>
      <c r="F47" s="338">
        <f>IF('Gårdens info'!$D$15&gt;0,J47/'Gårdens info'!$D$15,0)</f>
        <v>0</v>
      </c>
      <c r="G47" s="151" t="s">
        <v>14</v>
      </c>
      <c r="H47" s="613">
        <f>IF('Gårdens info'!$G$15&gt;0,F47/'Gårdens info'!$G$15,0)</f>
        <v>0</v>
      </c>
      <c r="I47" s="151" t="s">
        <v>6</v>
      </c>
      <c r="J47" s="298">
        <f>Ägendom!BJ76</f>
        <v>0</v>
      </c>
      <c r="K47" s="151" t="s">
        <v>365</v>
      </c>
      <c r="L47" s="329"/>
      <c r="M47" s="321"/>
    </row>
    <row r="48" spans="1:29" s="8" customFormat="1" ht="17.399999999999999" customHeight="1" x14ac:dyDescent="0.3">
      <c r="A48" s="71"/>
      <c r="B48" s="350"/>
      <c r="C48" s="941" t="s">
        <v>266</v>
      </c>
      <c r="D48" s="941"/>
      <c r="E48" s="324"/>
      <c r="F48" s="338">
        <f>IF('Gårdens info'!$D$15&gt;0,J48/'Gårdens info'!$D$15,0)</f>
        <v>0</v>
      </c>
      <c r="G48" s="151" t="s">
        <v>14</v>
      </c>
      <c r="H48" s="613">
        <f>IF('Gårdens info'!$G$15&gt;0,F48/'Gårdens info'!$G$15,0)</f>
        <v>0</v>
      </c>
      <c r="I48" s="151" t="s">
        <v>6</v>
      </c>
      <c r="J48" s="298">
        <f>Ägendom!CF76</f>
        <v>0</v>
      </c>
      <c r="K48" s="151" t="s">
        <v>365</v>
      </c>
      <c r="L48" s="329"/>
      <c r="M48" s="321"/>
      <c r="N48"/>
      <c r="O48"/>
      <c r="P48"/>
      <c r="Q48"/>
      <c r="R48"/>
      <c r="S48"/>
      <c r="T48"/>
      <c r="U48"/>
    </row>
    <row r="49" spans="1:13" s="8" customFormat="1" ht="21" x14ac:dyDescent="0.4">
      <c r="A49" s="71"/>
      <c r="B49" s="350"/>
      <c r="C49" s="838" t="s">
        <v>267</v>
      </c>
      <c r="D49" s="833"/>
      <c r="E49" s="324"/>
      <c r="F49" s="338">
        <f>IF('Gårdens info'!$D$15&gt;0,J49/'Gårdens info'!$D$15,0)</f>
        <v>0</v>
      </c>
      <c r="G49" s="151" t="s">
        <v>14</v>
      </c>
      <c r="H49" s="613">
        <f>IF('Gårdens info'!$G$15&gt;0,F49/'Gårdens info'!$G$15,0)</f>
        <v>0</v>
      </c>
      <c r="I49" s="151" t="s">
        <v>6</v>
      </c>
      <c r="J49" s="298">
        <f>Ägendom!DB76</f>
        <v>0</v>
      </c>
      <c r="K49" s="151" t="s">
        <v>365</v>
      </c>
      <c r="L49" s="329"/>
      <c r="M49" s="321"/>
    </row>
    <row r="50" spans="1:13" s="8" customFormat="1" ht="20.399999999999999" x14ac:dyDescent="0.35">
      <c r="A50" s="71"/>
      <c r="B50" s="352"/>
      <c r="C50" s="340" t="s">
        <v>196</v>
      </c>
      <c r="D50" s="341"/>
      <c r="E50" s="324"/>
      <c r="F50" s="342">
        <f>SUM(F46:F49)</f>
        <v>0</v>
      </c>
      <c r="G50" s="151" t="s">
        <v>14</v>
      </c>
      <c r="H50" s="727">
        <f>SUM(H46:H49)</f>
        <v>0</v>
      </c>
      <c r="I50" s="151" t="s">
        <v>6</v>
      </c>
      <c r="J50" s="342">
        <f t="shared" ref="J50" si="6">SUM(J46:J49)</f>
        <v>0</v>
      </c>
      <c r="K50" s="151" t="s">
        <v>365</v>
      </c>
      <c r="L50" s="343"/>
      <c r="M50" s="321"/>
    </row>
    <row r="51" spans="1:13" s="8" customFormat="1" ht="21" x14ac:dyDescent="0.4">
      <c r="A51" s="71"/>
      <c r="B51" s="350"/>
      <c r="C51" s="838"/>
      <c r="D51" s="833"/>
      <c r="E51" s="324"/>
      <c r="F51" s="338"/>
      <c r="G51" s="151"/>
      <c r="H51" s="339"/>
      <c r="I51" s="151"/>
      <c r="J51" s="298"/>
      <c r="K51" s="151"/>
      <c r="L51" s="329"/>
      <c r="M51" s="321"/>
    </row>
    <row r="52" spans="1:13" s="8" customFormat="1" ht="21" customHeight="1" x14ac:dyDescent="0.4">
      <c r="A52" s="71"/>
      <c r="B52" s="951" t="s">
        <v>160</v>
      </c>
      <c r="C52" s="952"/>
      <c r="D52" s="833"/>
      <c r="E52" s="324"/>
      <c r="F52" s="338"/>
      <c r="G52" s="151"/>
      <c r="H52" s="339"/>
      <c r="I52" s="151"/>
      <c r="J52" s="298"/>
      <c r="K52" s="151"/>
      <c r="L52" s="329"/>
      <c r="M52" s="321"/>
    </row>
    <row r="53" spans="1:13" s="8" customFormat="1" ht="21" x14ac:dyDescent="0.4">
      <c r="A53" s="71"/>
      <c r="B53" s="350"/>
      <c r="C53" s="838" t="s">
        <v>264</v>
      </c>
      <c r="D53" s="833"/>
      <c r="E53" s="324"/>
      <c r="F53" s="338">
        <f>IF('Gårdens info'!$D$15&gt;0,J53/'Gårdens info'!$D$15,0)</f>
        <v>0</v>
      </c>
      <c r="G53" s="151" t="s">
        <v>14</v>
      </c>
      <c r="H53" s="613">
        <f>IF('Gårdens info'!$G$15&gt;0,F53/'Gårdens info'!$G$15,0)</f>
        <v>0</v>
      </c>
      <c r="I53" s="151" t="s">
        <v>6</v>
      </c>
      <c r="J53" s="298">
        <f>Ägendom!AN79</f>
        <v>0</v>
      </c>
      <c r="K53" s="151" t="s">
        <v>365</v>
      </c>
      <c r="L53" s="329"/>
      <c r="M53" s="321"/>
    </row>
    <row r="54" spans="1:13" s="8" customFormat="1" ht="19.95" customHeight="1" x14ac:dyDescent="0.4">
      <c r="A54" s="71"/>
      <c r="B54" s="350"/>
      <c r="C54" s="838" t="s">
        <v>265</v>
      </c>
      <c r="D54" s="833"/>
      <c r="E54" s="324"/>
      <c r="F54" s="338">
        <f>IF('Gårdens info'!$D$15&gt;0,J54/'Gårdens info'!$D$15,0)</f>
        <v>0</v>
      </c>
      <c r="G54" s="151" t="s">
        <v>14</v>
      </c>
      <c r="H54" s="613">
        <f>IF('Gårdens info'!$G$15&gt;0,F54/'Gårdens info'!$G$15,0)</f>
        <v>0</v>
      </c>
      <c r="I54" s="151" t="s">
        <v>6</v>
      </c>
      <c r="J54" s="298">
        <f>Ägendom!BJ79</f>
        <v>0</v>
      </c>
      <c r="K54" s="151" t="s">
        <v>365</v>
      </c>
      <c r="L54" s="329"/>
      <c r="M54" s="321"/>
    </row>
    <row r="55" spans="1:13" s="8" customFormat="1" ht="17.399999999999999" customHeight="1" x14ac:dyDescent="0.3">
      <c r="A55" s="71"/>
      <c r="B55" s="350"/>
      <c r="C55" s="941" t="s">
        <v>266</v>
      </c>
      <c r="D55" s="941"/>
      <c r="E55" s="324"/>
      <c r="F55" s="338">
        <f>IF('Gårdens info'!$D$15&gt;0,J55/'Gårdens info'!$D$15,0)</f>
        <v>0</v>
      </c>
      <c r="G55" s="151" t="s">
        <v>14</v>
      </c>
      <c r="H55" s="613">
        <f>IF('Gårdens info'!$G$15&gt;0,F55/'Gårdens info'!$G$15,0)</f>
        <v>0</v>
      </c>
      <c r="I55" s="151" t="s">
        <v>6</v>
      </c>
      <c r="J55" s="298">
        <f>Ägendom!CF79</f>
        <v>0</v>
      </c>
      <c r="K55" s="151" t="s">
        <v>365</v>
      </c>
      <c r="L55" s="329"/>
      <c r="M55" s="321"/>
    </row>
    <row r="56" spans="1:13" s="8" customFormat="1" ht="15.6" x14ac:dyDescent="0.3">
      <c r="A56" s="71"/>
      <c r="B56" s="349"/>
      <c r="C56" s="323" t="s">
        <v>196</v>
      </c>
      <c r="D56" s="323"/>
      <c r="E56" s="323"/>
      <c r="F56" s="342">
        <f>SUM(F53:F55)</f>
        <v>0</v>
      </c>
      <c r="G56" s="151" t="s">
        <v>14</v>
      </c>
      <c r="H56" s="727">
        <f>SUM(H53:H55)</f>
        <v>0</v>
      </c>
      <c r="I56" s="151" t="s">
        <v>6</v>
      </c>
      <c r="J56" s="342">
        <f t="shared" ref="J56" si="7">SUM(J53:J55)</f>
        <v>0</v>
      </c>
      <c r="K56" s="151" t="s">
        <v>365</v>
      </c>
      <c r="L56" s="347"/>
      <c r="M56" s="353"/>
    </row>
    <row r="57" spans="1:13" s="8" customFormat="1" ht="21" customHeight="1" x14ac:dyDescent="0.4">
      <c r="A57" s="71"/>
      <c r="B57" s="932" t="s">
        <v>229</v>
      </c>
      <c r="C57" s="933"/>
      <c r="D57" s="933"/>
      <c r="E57" s="324"/>
      <c r="F57" s="328">
        <f>F36+F43+F50+F56</f>
        <v>0</v>
      </c>
      <c r="G57" s="329" t="s">
        <v>14</v>
      </c>
      <c r="H57" s="618">
        <f>H36+H43+H50+H56</f>
        <v>0</v>
      </c>
      <c r="I57" s="329" t="s">
        <v>6</v>
      </c>
      <c r="J57" s="331">
        <f>J36+J43+J50+J56</f>
        <v>0</v>
      </c>
      <c r="K57" s="329" t="s">
        <v>365</v>
      </c>
      <c r="L57" s="329"/>
      <c r="M57" s="321"/>
    </row>
    <row r="58" spans="1:13" s="8" customFormat="1" ht="15.6" x14ac:dyDescent="0.3">
      <c r="A58" s="71"/>
      <c r="B58" s="349"/>
      <c r="C58" s="324"/>
      <c r="D58" s="324"/>
      <c r="E58" s="324"/>
      <c r="F58" s="325"/>
      <c r="G58" s="304"/>
      <c r="H58" s="326"/>
      <c r="I58" s="304"/>
      <c r="J58" s="320"/>
      <c r="K58" s="304"/>
      <c r="L58" s="327"/>
      <c r="M58" s="321"/>
    </row>
    <row r="59" spans="1:13" s="8" customFormat="1" ht="21" x14ac:dyDescent="0.4">
      <c r="A59" s="71"/>
      <c r="B59" s="319" t="s">
        <v>230</v>
      </c>
      <c r="C59" s="324"/>
      <c r="D59" s="324"/>
      <c r="E59" s="324"/>
      <c r="F59" s="325"/>
      <c r="G59" s="304"/>
      <c r="H59" s="326"/>
      <c r="I59" s="304"/>
      <c r="J59" s="320"/>
      <c r="K59" s="304"/>
      <c r="L59" s="327"/>
      <c r="M59" s="321"/>
    </row>
    <row r="60" spans="1:13" s="8" customFormat="1" ht="15" x14ac:dyDescent="0.25">
      <c r="A60" s="71"/>
      <c r="B60" s="296"/>
      <c r="C60" s="289" t="s">
        <v>230</v>
      </c>
      <c r="D60" s="297"/>
      <c r="E60" s="297"/>
      <c r="F60" s="298">
        <f>IF('Gårdens info'!D15&gt;0,H173,0)</f>
        <v>0</v>
      </c>
      <c r="G60" s="151" t="s">
        <v>14</v>
      </c>
      <c r="H60" s="614">
        <f>IF('Gårdens info'!G15&gt;0,F60/'Gårdens info'!$G$15,0)</f>
        <v>0</v>
      </c>
      <c r="I60" s="151" t="s">
        <v>6</v>
      </c>
      <c r="J60" s="298">
        <f>F60*'Gårdens info'!D15</f>
        <v>0</v>
      </c>
      <c r="K60" s="151" t="s">
        <v>365</v>
      </c>
      <c r="L60" s="297"/>
      <c r="M60" s="300"/>
    </row>
    <row r="61" spans="1:13" s="8" customFormat="1" ht="17.399999999999999" x14ac:dyDescent="0.3">
      <c r="A61" s="71"/>
      <c r="B61" s="841"/>
      <c r="C61" s="306"/>
      <c r="D61" s="310"/>
      <c r="E61" s="310"/>
      <c r="F61" s="311"/>
      <c r="G61" s="153"/>
      <c r="H61" s="310"/>
      <c r="I61" s="310"/>
      <c r="J61" s="310"/>
      <c r="K61" s="310"/>
      <c r="L61" s="310"/>
      <c r="M61" s="295"/>
    </row>
    <row r="62" spans="1:13" s="8" customFormat="1" ht="21" customHeight="1" x14ac:dyDescent="0.4">
      <c r="A62" s="71"/>
      <c r="B62" s="932" t="s">
        <v>231</v>
      </c>
      <c r="C62" s="933"/>
      <c r="D62" s="933"/>
      <c r="E62" s="324"/>
      <c r="F62" s="328">
        <f>F60</f>
        <v>0</v>
      </c>
      <c r="G62" s="329" t="s">
        <v>14</v>
      </c>
      <c r="H62" s="618">
        <f>H60</f>
        <v>0</v>
      </c>
      <c r="I62" s="329" t="s">
        <v>6</v>
      </c>
      <c r="J62" s="331">
        <f>J60</f>
        <v>0</v>
      </c>
      <c r="K62" s="329" t="s">
        <v>365</v>
      </c>
      <c r="L62" s="329"/>
      <c r="M62" s="321"/>
    </row>
    <row r="63" spans="1:13" s="8" customFormat="1" ht="21" x14ac:dyDescent="0.4">
      <c r="A63" s="71"/>
      <c r="B63" s="832"/>
      <c r="C63" s="833"/>
      <c r="D63" s="833"/>
      <c r="E63" s="324"/>
      <c r="F63" s="328"/>
      <c r="G63" s="329"/>
      <c r="H63" s="618"/>
      <c r="I63" s="329"/>
      <c r="J63" s="331"/>
      <c r="K63" s="329"/>
      <c r="L63" s="329"/>
      <c r="M63" s="321"/>
    </row>
    <row r="64" spans="1:13" s="8" customFormat="1" ht="21" customHeight="1" x14ac:dyDescent="0.4">
      <c r="A64" s="71"/>
      <c r="B64" s="932" t="s">
        <v>268</v>
      </c>
      <c r="C64" s="933"/>
      <c r="D64" s="933"/>
      <c r="E64" s="324"/>
      <c r="F64" s="328">
        <f>F28+F57+F62</f>
        <v>0</v>
      </c>
      <c r="G64" s="329" t="s">
        <v>14</v>
      </c>
      <c r="H64" s="705">
        <f>H28+H57+H62</f>
        <v>0</v>
      </c>
      <c r="I64" s="329" t="s">
        <v>6</v>
      </c>
      <c r="J64" s="328">
        <f>J28+J57+J62</f>
        <v>0</v>
      </c>
      <c r="K64" s="329" t="s">
        <v>365</v>
      </c>
      <c r="L64" s="329"/>
      <c r="M64" s="321"/>
    </row>
    <row r="65" spans="1:21" s="8" customFormat="1" ht="21" x14ac:dyDescent="0.4">
      <c r="A65" s="71"/>
      <c r="B65" s="832"/>
      <c r="C65" s="833"/>
      <c r="D65" s="833"/>
      <c r="E65" s="324"/>
      <c r="F65" s="328"/>
      <c r="G65" s="329"/>
      <c r="H65" s="330"/>
      <c r="I65" s="329"/>
      <c r="J65" s="331"/>
      <c r="K65" s="329"/>
      <c r="L65" s="329"/>
      <c r="M65" s="321"/>
    </row>
    <row r="66" spans="1:21" s="8" customFormat="1" ht="21.6" customHeight="1" thickBot="1" x14ac:dyDescent="0.45">
      <c r="A66" s="71"/>
      <c r="B66" s="936" t="s">
        <v>269</v>
      </c>
      <c r="C66" s="937"/>
      <c r="D66" s="937"/>
      <c r="E66" s="315"/>
      <c r="F66" s="355">
        <f>F11-F28-F57-F62</f>
        <v>0</v>
      </c>
      <c r="G66" s="356" t="s">
        <v>14</v>
      </c>
      <c r="H66" s="621">
        <f>H11-H28-H57-H62</f>
        <v>0</v>
      </c>
      <c r="I66" s="356" t="s">
        <v>6</v>
      </c>
      <c r="J66" s="355">
        <f>J11-J28-J57-J62</f>
        <v>0</v>
      </c>
      <c r="K66" s="853" t="s">
        <v>365</v>
      </c>
      <c r="L66" s="356"/>
      <c r="M66" s="316"/>
    </row>
    <row r="67" spans="1:21" s="8" customFormat="1" ht="21" x14ac:dyDescent="0.4">
      <c r="A67" s="71"/>
      <c r="B67" s="76"/>
      <c r="C67"/>
      <c r="D67"/>
      <c r="E67"/>
      <c r="F67"/>
      <c r="G67"/>
      <c r="H67"/>
      <c r="I67"/>
      <c r="J67"/>
      <c r="K67"/>
      <c r="L67"/>
      <c r="M67"/>
    </row>
    <row r="68" spans="1:21" s="239" customFormat="1" ht="16.2" thickBot="1" x14ac:dyDescent="0.35">
      <c r="A68" s="772"/>
      <c r="B68"/>
      <c r="C68"/>
      <c r="D68"/>
      <c r="E68"/>
      <c r="F68"/>
      <c r="G68"/>
      <c r="H68"/>
      <c r="I68"/>
      <c r="J68"/>
      <c r="K68"/>
      <c r="L68"/>
      <c r="M68"/>
      <c r="N68" s="8"/>
      <c r="O68" s="8"/>
      <c r="P68" s="8"/>
      <c r="Q68" s="8"/>
      <c r="R68" s="8"/>
      <c r="S68" s="8"/>
      <c r="T68" s="8"/>
      <c r="U68" s="8"/>
    </row>
    <row r="69" spans="1:21" s="8" customFormat="1" ht="21.6" thickBot="1" x14ac:dyDescent="0.45">
      <c r="A69" s="71"/>
      <c r="B69" s="953" t="s">
        <v>270</v>
      </c>
      <c r="C69" s="954"/>
      <c r="D69" s="954"/>
      <c r="E69" s="955"/>
      <c r="F69"/>
      <c r="G69"/>
      <c r="H69"/>
      <c r="I69"/>
      <c r="J69"/>
      <c r="K69"/>
      <c r="L69" s="956" t="s">
        <v>271</v>
      </c>
      <c r="M69" s="956"/>
    </row>
    <row r="70" spans="1:21" s="8" customFormat="1" ht="21" x14ac:dyDescent="0.4">
      <c r="A70" s="71"/>
      <c r="B70" s="758"/>
      <c r="C70" s="758"/>
      <c r="D70" s="758"/>
      <c r="E70" s="758"/>
      <c r="F70" s="534"/>
      <c r="G70" s="534"/>
      <c r="H70" s="534"/>
      <c r="I70" s="534"/>
      <c r="J70" s="534"/>
      <c r="K70" s="534"/>
      <c r="L70" s="761"/>
      <c r="M70" s="761"/>
    </row>
    <row r="71" spans="1:21" ht="15.6" x14ac:dyDescent="0.3">
      <c r="B71" s="113" t="s">
        <v>243</v>
      </c>
      <c r="C71" s="65"/>
      <c r="D71" s="65"/>
      <c r="E71" s="65"/>
      <c r="F71" s="959" t="s">
        <v>159</v>
      </c>
      <c r="G71" s="959"/>
      <c r="H71" s="959" t="s">
        <v>158</v>
      </c>
      <c r="I71" s="959"/>
      <c r="J71" s="959" t="s">
        <v>273</v>
      </c>
      <c r="K71" s="959"/>
      <c r="L71" s="143" t="s">
        <v>274</v>
      </c>
      <c r="M71" s="67"/>
    </row>
    <row r="72" spans="1:21" ht="13.8" thickBot="1" x14ac:dyDescent="0.3">
      <c r="B72" s="69"/>
      <c r="C72" s="65"/>
      <c r="D72" s="65"/>
      <c r="E72" s="65"/>
      <c r="F72" s="65"/>
      <c r="G72" s="65"/>
      <c r="H72" s="65"/>
      <c r="I72" s="65"/>
      <c r="J72" s="67"/>
      <c r="K72" s="67"/>
      <c r="L72" s="67"/>
      <c r="M72" s="67"/>
    </row>
    <row r="73" spans="1:21" ht="13.8" thickBot="1" x14ac:dyDescent="0.3">
      <c r="B73" s="65"/>
      <c r="C73" s="66" t="s">
        <v>367</v>
      </c>
      <c r="D73" s="67"/>
      <c r="E73" s="65"/>
      <c r="F73" s="96">
        <v>1000000</v>
      </c>
      <c r="G73" s="65" t="s">
        <v>327</v>
      </c>
      <c r="H73" s="96">
        <v>6.9999999999999999E-4</v>
      </c>
      <c r="I73" s="70" t="s">
        <v>152</v>
      </c>
      <c r="J73" s="235">
        <f>F73*H73</f>
        <v>700</v>
      </c>
      <c r="K73" s="65" t="s">
        <v>14</v>
      </c>
      <c r="L73" s="65"/>
      <c r="M73" s="67"/>
    </row>
    <row r="74" spans="1:21" s="8" customFormat="1" x14ac:dyDescent="0.25">
      <c r="A74" s="71"/>
      <c r="B74" s="71"/>
      <c r="C74" s="71" t="s">
        <v>196</v>
      </c>
      <c r="D74" s="572"/>
      <c r="E74" s="71"/>
      <c r="F74" s="277"/>
      <c r="G74" s="573"/>
      <c r="H74" s="574"/>
      <c r="I74" s="279"/>
      <c r="J74" s="280"/>
      <c r="K74" s="71"/>
      <c r="L74" s="71"/>
      <c r="M74" s="71"/>
    </row>
    <row r="75" spans="1:21" x14ac:dyDescent="0.25">
      <c r="B75" s="535"/>
      <c r="C75" s="535"/>
      <c r="D75" s="569"/>
      <c r="E75" s="535"/>
      <c r="F75" s="570"/>
      <c r="G75" s="535"/>
      <c r="H75" s="307"/>
      <c r="I75" s="537"/>
      <c r="J75" s="571"/>
      <c r="K75" s="535"/>
      <c r="L75" s="534"/>
      <c r="M75" s="534"/>
    </row>
    <row r="76" spans="1:21" s="8" customFormat="1" ht="15.6" x14ac:dyDescent="0.3">
      <c r="A76" s="71"/>
      <c r="B76" s="120" t="s">
        <v>275</v>
      </c>
      <c r="C76" s="121"/>
      <c r="D76" s="121"/>
      <c r="E76" s="121"/>
      <c r="F76" s="960" t="s">
        <v>159</v>
      </c>
      <c r="G76" s="960"/>
      <c r="H76" s="960" t="s">
        <v>158</v>
      </c>
      <c r="I76" s="960"/>
      <c r="J76" s="960" t="s">
        <v>273</v>
      </c>
      <c r="K76" s="960"/>
      <c r="L76" s="123"/>
      <c r="M76" s="123"/>
    </row>
    <row r="77" spans="1:21" s="77" customFormat="1" ht="18" thickBot="1" x14ac:dyDescent="0.35">
      <c r="A77" s="770"/>
      <c r="B77" s="121"/>
      <c r="C77" s="121"/>
      <c r="D77" s="121"/>
      <c r="E77" s="121"/>
      <c r="F77" s="121"/>
      <c r="G77" s="121"/>
      <c r="H77" s="122"/>
      <c r="I77" s="122"/>
      <c r="J77" s="123"/>
      <c r="K77" s="123"/>
      <c r="L77" s="123"/>
      <c r="M77" s="123"/>
      <c r="N77" s="8"/>
      <c r="O77" s="8"/>
      <c r="P77" s="8"/>
      <c r="Q77" s="8"/>
      <c r="R77" s="8"/>
      <c r="S77" s="8"/>
      <c r="T77" s="8"/>
      <c r="U77" s="8"/>
    </row>
    <row r="78" spans="1:21" s="91" customFormat="1" ht="15.6" thickBot="1" x14ac:dyDescent="0.3">
      <c r="A78" s="143"/>
      <c r="B78" s="121"/>
      <c r="C78" s="121" t="s">
        <v>276</v>
      </c>
      <c r="D78" s="123"/>
      <c r="E78" s="121"/>
      <c r="F78" s="118">
        <v>600</v>
      </c>
      <c r="G78" s="121" t="s">
        <v>21</v>
      </c>
      <c r="H78" s="99">
        <v>0.75</v>
      </c>
      <c r="I78" s="122" t="s">
        <v>6</v>
      </c>
      <c r="J78" s="124">
        <f>F78*H78</f>
        <v>450</v>
      </c>
      <c r="K78" s="121" t="s">
        <v>14</v>
      </c>
      <c r="L78" s="123"/>
      <c r="M78" s="123"/>
      <c r="N78" s="8"/>
      <c r="O78" s="8"/>
      <c r="P78" s="8"/>
      <c r="Q78" s="8"/>
      <c r="R78" s="8"/>
      <c r="S78" s="8"/>
      <c r="T78" s="8"/>
      <c r="U78" s="8"/>
    </row>
    <row r="79" spans="1:21" s="8" customFormat="1" ht="18" thickBot="1" x14ac:dyDescent="0.35">
      <c r="A79" s="71"/>
      <c r="B79" s="121"/>
      <c r="C79" s="121" t="s">
        <v>277</v>
      </c>
      <c r="D79" s="123"/>
      <c r="E79" s="121"/>
      <c r="F79" s="118">
        <v>200</v>
      </c>
      <c r="G79" s="121" t="s">
        <v>21</v>
      </c>
      <c r="H79" s="99">
        <v>0.59</v>
      </c>
      <c r="I79" s="122" t="s">
        <v>6</v>
      </c>
      <c r="J79" s="124">
        <f t="shared" ref="J79:J83" si="8">F79*H79</f>
        <v>118</v>
      </c>
      <c r="K79" s="121" t="s">
        <v>14</v>
      </c>
      <c r="L79" s="123"/>
      <c r="M79" s="123"/>
      <c r="N79" s="77"/>
      <c r="O79" s="77"/>
      <c r="P79" s="77"/>
      <c r="Q79" s="77"/>
      <c r="R79" s="77"/>
      <c r="S79" s="77"/>
      <c r="T79" s="77"/>
      <c r="U79" s="77"/>
    </row>
    <row r="80" spans="1:21" s="77" customFormat="1" ht="18" thickBot="1" x14ac:dyDescent="0.35">
      <c r="A80" s="770"/>
      <c r="B80" s="121"/>
      <c r="C80" s="121" t="s">
        <v>278</v>
      </c>
      <c r="D80" s="123"/>
      <c r="E80" s="121"/>
      <c r="F80" s="96">
        <v>200</v>
      </c>
      <c r="G80" s="121" t="s">
        <v>21</v>
      </c>
      <c r="H80" s="99">
        <v>0.4</v>
      </c>
      <c r="I80" s="122" t="s">
        <v>6</v>
      </c>
      <c r="J80" s="124">
        <f t="shared" si="8"/>
        <v>80</v>
      </c>
      <c r="K80" s="121" t="s">
        <v>14</v>
      </c>
      <c r="L80" s="123"/>
      <c r="M80" s="123"/>
      <c r="N80" s="91"/>
      <c r="O80" s="91"/>
      <c r="P80" s="91"/>
      <c r="Q80" s="91"/>
      <c r="R80" s="91"/>
      <c r="S80" s="91"/>
      <c r="T80" s="91"/>
      <c r="U80" s="91"/>
    </row>
    <row r="81" spans="1:21" s="91" customFormat="1" ht="15.6" thickBot="1" x14ac:dyDescent="0.3">
      <c r="A81" s="143"/>
      <c r="B81" s="121"/>
      <c r="C81" s="121" t="s">
        <v>279</v>
      </c>
      <c r="D81" s="123"/>
      <c r="E81" s="121"/>
      <c r="F81" s="96">
        <v>1400</v>
      </c>
      <c r="G81" s="121" t="s">
        <v>21</v>
      </c>
      <c r="H81" s="99">
        <v>0.46</v>
      </c>
      <c r="I81" s="122" t="s">
        <v>6</v>
      </c>
      <c r="J81" s="124">
        <f t="shared" si="8"/>
        <v>644</v>
      </c>
      <c r="K81" s="121" t="s">
        <v>14</v>
      </c>
      <c r="L81" s="123"/>
      <c r="M81" s="123"/>
      <c r="N81" s="8"/>
      <c r="O81" s="8"/>
      <c r="P81" s="8"/>
      <c r="Q81" s="8"/>
      <c r="R81" s="8"/>
      <c r="S81" s="8"/>
      <c r="T81" s="8"/>
      <c r="U81" s="8"/>
    </row>
    <row r="82" spans="1:21" s="77" customFormat="1" ht="18" thickBot="1" x14ac:dyDescent="0.35">
      <c r="A82" s="770"/>
      <c r="B82" s="121"/>
      <c r="C82" s="121" t="s">
        <v>280</v>
      </c>
      <c r="D82" s="121"/>
      <c r="E82" s="121"/>
      <c r="F82" s="96"/>
      <c r="G82" s="121" t="s">
        <v>21</v>
      </c>
      <c r="H82" s="99"/>
      <c r="I82" s="122" t="s">
        <v>6</v>
      </c>
      <c r="J82" s="124">
        <f t="shared" si="8"/>
        <v>0</v>
      </c>
      <c r="K82" s="121" t="s">
        <v>14</v>
      </c>
      <c r="L82" s="123"/>
      <c r="M82" s="123"/>
    </row>
    <row r="83" spans="1:21" ht="15.6" thickBot="1" x14ac:dyDescent="0.3">
      <c r="B83" s="121"/>
      <c r="C83" s="121" t="s">
        <v>280</v>
      </c>
      <c r="D83" s="121"/>
      <c r="E83" s="121"/>
      <c r="F83" s="96"/>
      <c r="G83" s="121" t="s">
        <v>21</v>
      </c>
      <c r="H83" s="99"/>
      <c r="I83" s="122" t="s">
        <v>6</v>
      </c>
      <c r="J83" s="124">
        <f t="shared" si="8"/>
        <v>0</v>
      </c>
      <c r="K83" s="121" t="s">
        <v>14</v>
      </c>
      <c r="L83" s="123"/>
      <c r="M83" s="123"/>
      <c r="N83" s="91"/>
      <c r="O83" s="91"/>
      <c r="P83" s="91"/>
      <c r="Q83" s="91"/>
      <c r="R83" s="91"/>
      <c r="S83" s="91"/>
      <c r="T83" s="91"/>
      <c r="U83" s="91"/>
    </row>
    <row r="84" spans="1:21" s="91" customFormat="1" ht="17.399999999999999" x14ac:dyDescent="0.3">
      <c r="A84" s="143"/>
      <c r="B84" s="270"/>
      <c r="C84" s="270" t="s">
        <v>222</v>
      </c>
      <c r="D84" s="270"/>
      <c r="E84" s="270"/>
      <c r="F84" s="270"/>
      <c r="G84" s="270"/>
      <c r="H84" s="270"/>
      <c r="I84" s="271"/>
      <c r="J84" s="272">
        <f>SUM(J78:J83)</f>
        <v>1292</v>
      </c>
      <c r="K84" s="270" t="s">
        <v>14</v>
      </c>
      <c r="L84" s="270"/>
      <c r="M84" s="270"/>
      <c r="N84" s="77"/>
      <c r="O84" s="77"/>
      <c r="P84" s="77"/>
      <c r="Q84" s="77"/>
      <c r="R84" s="77"/>
      <c r="S84" s="77"/>
      <c r="T84" s="77"/>
      <c r="U84" s="77"/>
    </row>
    <row r="85" spans="1:21" s="8" customFormat="1" x14ac:dyDescent="0.25">
      <c r="A85" s="71"/>
      <c r="B85" s="121"/>
      <c r="C85" s="121"/>
      <c r="D85" s="121"/>
      <c r="E85" s="121"/>
      <c r="F85" s="121"/>
      <c r="G85" s="121"/>
      <c r="H85" s="121"/>
      <c r="I85" s="122"/>
      <c r="J85" s="124"/>
      <c r="K85" s="121"/>
      <c r="L85" s="123"/>
      <c r="M85" s="123"/>
      <c r="N85"/>
      <c r="O85"/>
      <c r="P85"/>
      <c r="Q85"/>
      <c r="R85"/>
      <c r="S85"/>
      <c r="T85"/>
      <c r="U85"/>
    </row>
    <row r="86" spans="1:21" s="8" customFormat="1" ht="15" x14ac:dyDescent="0.25">
      <c r="A86" s="71"/>
      <c r="B86"/>
      <c r="C86"/>
      <c r="D86"/>
      <c r="E86"/>
      <c r="F86"/>
      <c r="G86"/>
      <c r="H86"/>
      <c r="I86"/>
      <c r="J86"/>
      <c r="K86"/>
      <c r="L86"/>
      <c r="M86"/>
      <c r="N86" s="91"/>
      <c r="O86" s="91"/>
      <c r="P86" s="91"/>
      <c r="Q86" s="91"/>
      <c r="R86" s="91"/>
      <c r="S86" s="91"/>
      <c r="T86" s="91"/>
      <c r="U86" s="91"/>
    </row>
    <row r="87" spans="1:21" s="8" customFormat="1" ht="15.6" x14ac:dyDescent="0.3">
      <c r="A87" s="71"/>
      <c r="B87" s="109" t="s">
        <v>282</v>
      </c>
      <c r="C87" s="72"/>
      <c r="D87" s="72"/>
      <c r="E87" s="72"/>
      <c r="F87" s="957" t="s">
        <v>159</v>
      </c>
      <c r="G87" s="957"/>
      <c r="H87" s="958" t="s">
        <v>158</v>
      </c>
      <c r="I87" s="958"/>
      <c r="J87" s="957" t="s">
        <v>273</v>
      </c>
      <c r="K87" s="957"/>
      <c r="L87" s="79"/>
      <c r="M87" s="79"/>
    </row>
    <row r="88" spans="1:21" x14ac:dyDescent="0.25">
      <c r="B88" s="72"/>
      <c r="C88" s="72"/>
      <c r="D88" s="72"/>
      <c r="E88" s="72"/>
      <c r="F88" s="74"/>
      <c r="G88" s="74"/>
      <c r="H88" s="73"/>
      <c r="I88" s="73"/>
      <c r="J88" s="73"/>
      <c r="K88" s="79"/>
      <c r="L88" s="79"/>
      <c r="M88" s="79"/>
      <c r="N88" s="8"/>
      <c r="O88" s="8"/>
      <c r="P88" s="8"/>
      <c r="Q88" s="8"/>
      <c r="R88" s="8"/>
      <c r="S88" s="8"/>
      <c r="T88" s="8"/>
      <c r="U88" s="8"/>
    </row>
    <row r="89" spans="1:21" ht="15.6" x14ac:dyDescent="0.3">
      <c r="B89" s="109"/>
      <c r="C89" s="72"/>
      <c r="D89" s="462" t="s">
        <v>364</v>
      </c>
      <c r="E89" s="72"/>
      <c r="F89" s="836"/>
      <c r="G89" s="836"/>
      <c r="H89" s="837"/>
      <c r="I89" s="837"/>
      <c r="J89" s="836"/>
      <c r="K89" s="836"/>
      <c r="L89" s="79"/>
      <c r="M89" s="79"/>
    </row>
    <row r="90" spans="1:21" ht="13.8" thickBot="1" x14ac:dyDescent="0.3">
      <c r="B90" s="214" t="s">
        <v>357</v>
      </c>
      <c r="C90" s="72"/>
      <c r="D90" s="72"/>
      <c r="E90" s="72"/>
      <c r="F90" s="74"/>
      <c r="G90" s="74"/>
      <c r="H90" s="73"/>
      <c r="I90" s="73"/>
      <c r="J90" s="79"/>
      <c r="K90" s="79"/>
      <c r="L90" s="79"/>
      <c r="M90" s="79"/>
    </row>
    <row r="91" spans="1:21" ht="13.8" thickBot="1" x14ac:dyDescent="0.3">
      <c r="B91" s="72"/>
      <c r="C91" s="72" t="s">
        <v>60</v>
      </c>
      <c r="D91" s="79"/>
      <c r="E91" s="72"/>
      <c r="F91" s="119">
        <v>3</v>
      </c>
      <c r="G91" s="74" t="s">
        <v>20</v>
      </c>
      <c r="H91" s="99">
        <v>26.8</v>
      </c>
      <c r="I91" s="73" t="s">
        <v>5</v>
      </c>
      <c r="J91" s="79">
        <f>F91*H91</f>
        <v>80.400000000000006</v>
      </c>
      <c r="K91" s="72" t="s">
        <v>14</v>
      </c>
      <c r="L91" s="79"/>
      <c r="M91" s="79"/>
    </row>
    <row r="92" spans="1:21" ht="13.8" thickBot="1" x14ac:dyDescent="0.3">
      <c r="B92" s="72"/>
      <c r="C92" s="72" t="s">
        <v>64</v>
      </c>
      <c r="D92" s="79"/>
      <c r="E92" s="72"/>
      <c r="F92" s="119">
        <v>0.2</v>
      </c>
      <c r="G92" s="74" t="s">
        <v>21</v>
      </c>
      <c r="H92" s="99">
        <v>47.45</v>
      </c>
      <c r="I92" s="73" t="s">
        <v>6</v>
      </c>
      <c r="J92" s="79">
        <f t="shared" ref="J92:J97" si="9">F92*H92</f>
        <v>9.49</v>
      </c>
      <c r="K92" s="72" t="s">
        <v>14</v>
      </c>
      <c r="L92" s="79"/>
      <c r="M92" s="79"/>
    </row>
    <row r="93" spans="1:21" ht="13.8" thickBot="1" x14ac:dyDescent="0.3">
      <c r="B93" s="72"/>
      <c r="C93" s="72" t="s">
        <v>65</v>
      </c>
      <c r="D93" s="79"/>
      <c r="E93" s="72"/>
      <c r="F93" s="119">
        <v>1</v>
      </c>
      <c r="G93" s="74" t="s">
        <v>20</v>
      </c>
      <c r="H93" s="99">
        <v>46.47</v>
      </c>
      <c r="I93" s="73" t="s">
        <v>5</v>
      </c>
      <c r="J93" s="79">
        <f t="shared" si="9"/>
        <v>46.47</v>
      </c>
      <c r="K93" s="72" t="s">
        <v>14</v>
      </c>
      <c r="L93" s="79"/>
      <c r="M93" s="79"/>
    </row>
    <row r="94" spans="1:21" ht="13.8" thickBot="1" x14ac:dyDescent="0.3">
      <c r="B94" s="72"/>
      <c r="C94" s="72" t="s">
        <v>66</v>
      </c>
      <c r="D94" s="79"/>
      <c r="E94" s="72"/>
      <c r="F94" s="119">
        <v>0.6</v>
      </c>
      <c r="G94" s="74" t="s">
        <v>20</v>
      </c>
      <c r="H94" s="99">
        <v>20.48</v>
      </c>
      <c r="I94" s="73" t="s">
        <v>5</v>
      </c>
      <c r="J94" s="568">
        <f t="shared" si="9"/>
        <v>12.288</v>
      </c>
      <c r="K94" s="72" t="s">
        <v>14</v>
      </c>
      <c r="L94" s="79"/>
      <c r="M94" s="79"/>
    </row>
    <row r="95" spans="1:21" ht="13.8" thickBot="1" x14ac:dyDescent="0.3">
      <c r="B95" s="72"/>
      <c r="C95" s="72" t="s">
        <v>326</v>
      </c>
      <c r="D95" s="79"/>
      <c r="E95" s="72"/>
      <c r="F95" s="119"/>
      <c r="G95" s="74" t="s">
        <v>20</v>
      </c>
      <c r="H95" s="99"/>
      <c r="I95" s="73" t="s">
        <v>5</v>
      </c>
      <c r="J95" s="79">
        <f t="shared" si="9"/>
        <v>0</v>
      </c>
      <c r="K95" s="72" t="s">
        <v>14</v>
      </c>
      <c r="L95" s="79"/>
      <c r="M95" s="79"/>
    </row>
    <row r="96" spans="1:21" ht="13.8" thickBot="1" x14ac:dyDescent="0.3">
      <c r="B96" s="72"/>
      <c r="C96" s="72" t="s">
        <v>326</v>
      </c>
      <c r="D96" s="72"/>
      <c r="E96" s="72"/>
      <c r="F96" s="119"/>
      <c r="G96" s="74" t="s">
        <v>20</v>
      </c>
      <c r="H96" s="99"/>
      <c r="I96" s="73" t="s">
        <v>5</v>
      </c>
      <c r="J96" s="79">
        <f t="shared" si="9"/>
        <v>0</v>
      </c>
      <c r="K96" s="72" t="s">
        <v>14</v>
      </c>
      <c r="L96" s="79"/>
      <c r="M96" s="79"/>
    </row>
    <row r="97" spans="1:15" ht="13.8" thickBot="1" x14ac:dyDescent="0.3">
      <c r="B97" s="72"/>
      <c r="C97" s="72" t="s">
        <v>326</v>
      </c>
      <c r="D97" s="72"/>
      <c r="E97" s="72"/>
      <c r="F97" s="119"/>
      <c r="G97" s="74" t="s">
        <v>20</v>
      </c>
      <c r="H97" s="99"/>
      <c r="I97" s="73" t="s">
        <v>5</v>
      </c>
      <c r="J97" s="79">
        <f t="shared" si="9"/>
        <v>0</v>
      </c>
      <c r="K97" s="72" t="s">
        <v>14</v>
      </c>
      <c r="L97" s="79"/>
      <c r="M97" s="79"/>
    </row>
    <row r="98" spans="1:15" x14ac:dyDescent="0.25">
      <c r="B98" s="72"/>
      <c r="C98" s="72"/>
      <c r="D98" s="72"/>
      <c r="E98" s="72"/>
      <c r="F98" s="212"/>
      <c r="G98" s="74"/>
      <c r="H98" s="213"/>
      <c r="I98" s="73"/>
      <c r="J98" s="79"/>
      <c r="K98" s="72"/>
      <c r="L98" s="79"/>
      <c r="M98" s="79"/>
    </row>
    <row r="99" spans="1:15" ht="13.8" thickBot="1" x14ac:dyDescent="0.3">
      <c r="B99" s="214" t="s">
        <v>358</v>
      </c>
      <c r="C99" s="72"/>
      <c r="D99" s="72"/>
      <c r="E99" s="72"/>
      <c r="F99" s="212"/>
      <c r="G99" s="74"/>
      <c r="H99" s="213"/>
      <c r="I99" s="73"/>
      <c r="J99" s="79"/>
      <c r="K99" s="72"/>
      <c r="L99" s="79"/>
      <c r="M99" s="79"/>
    </row>
    <row r="100" spans="1:15" ht="13.8" thickBot="1" x14ac:dyDescent="0.3">
      <c r="B100" s="72"/>
      <c r="C100" s="72" t="s">
        <v>61</v>
      </c>
      <c r="D100" s="72"/>
      <c r="E100" s="72"/>
      <c r="F100" s="119">
        <v>5</v>
      </c>
      <c r="G100" s="74" t="s">
        <v>62</v>
      </c>
      <c r="H100" s="119">
        <v>13</v>
      </c>
      <c r="I100" s="73" t="s">
        <v>63</v>
      </c>
      <c r="J100" s="79">
        <f t="shared" ref="J100:J104" si="10">F100*H100</f>
        <v>65</v>
      </c>
      <c r="K100" s="72" t="s">
        <v>14</v>
      </c>
      <c r="L100" s="79"/>
      <c r="M100" s="79"/>
    </row>
    <row r="101" spans="1:15" ht="13.8" thickBot="1" x14ac:dyDescent="0.3">
      <c r="B101" s="72"/>
      <c r="C101" s="72" t="s">
        <v>326</v>
      </c>
      <c r="D101" s="72"/>
      <c r="E101" s="72"/>
      <c r="F101" s="119"/>
      <c r="G101" s="74" t="s">
        <v>20</v>
      </c>
      <c r="H101" s="119"/>
      <c r="I101" s="73" t="s">
        <v>5</v>
      </c>
      <c r="J101" s="79">
        <f t="shared" si="10"/>
        <v>0</v>
      </c>
      <c r="K101" s="72" t="s">
        <v>14</v>
      </c>
      <c r="L101" s="79"/>
      <c r="M101" s="79"/>
    </row>
    <row r="102" spans="1:15" ht="13.8" thickBot="1" x14ac:dyDescent="0.3">
      <c r="B102" s="72"/>
      <c r="C102" s="72" t="s">
        <v>326</v>
      </c>
      <c r="D102" s="72"/>
      <c r="E102" s="72"/>
      <c r="F102" s="119"/>
      <c r="G102" s="74" t="s">
        <v>20</v>
      </c>
      <c r="H102" s="119"/>
      <c r="I102" s="73" t="s">
        <v>5</v>
      </c>
      <c r="J102" s="79">
        <f t="shared" si="10"/>
        <v>0</v>
      </c>
      <c r="K102" s="72" t="s">
        <v>14</v>
      </c>
      <c r="L102" s="79"/>
      <c r="M102" s="79"/>
    </row>
    <row r="103" spans="1:15" ht="13.8" thickBot="1" x14ac:dyDescent="0.3">
      <c r="B103" s="72"/>
      <c r="C103" s="72" t="s">
        <v>326</v>
      </c>
      <c r="D103" s="72"/>
      <c r="E103" s="72"/>
      <c r="F103" s="119"/>
      <c r="G103" s="74" t="s">
        <v>20</v>
      </c>
      <c r="H103" s="119"/>
      <c r="I103" s="73" t="s">
        <v>5</v>
      </c>
      <c r="J103" s="79">
        <f t="shared" si="10"/>
        <v>0</v>
      </c>
      <c r="K103" s="72" t="s">
        <v>14</v>
      </c>
      <c r="L103" s="79"/>
      <c r="M103" s="79"/>
    </row>
    <row r="104" spans="1:15" ht="13.8" thickBot="1" x14ac:dyDescent="0.3">
      <c r="B104" s="72"/>
      <c r="C104" s="72" t="s">
        <v>326</v>
      </c>
      <c r="D104" s="72"/>
      <c r="E104" s="72"/>
      <c r="F104" s="119"/>
      <c r="G104" s="74" t="s">
        <v>20</v>
      </c>
      <c r="H104" s="119"/>
      <c r="I104" s="73" t="s">
        <v>5</v>
      </c>
      <c r="J104" s="79">
        <f t="shared" si="10"/>
        <v>0</v>
      </c>
      <c r="K104" s="72" t="s">
        <v>14</v>
      </c>
      <c r="L104" s="79"/>
      <c r="M104" s="79"/>
    </row>
    <row r="105" spans="1:15" s="8" customFormat="1" x14ac:dyDescent="0.25">
      <c r="A105" s="71"/>
      <c r="B105" s="241"/>
      <c r="C105" s="72" t="s">
        <v>196</v>
      </c>
      <c r="D105" s="241"/>
      <c r="E105" s="241"/>
      <c r="F105" s="273"/>
      <c r="G105" s="242"/>
      <c r="H105" s="273"/>
      <c r="I105" s="243"/>
      <c r="J105" s="243">
        <f>SUM(J91:J104)</f>
        <v>213.64800000000002</v>
      </c>
      <c r="K105" s="241" t="s">
        <v>14</v>
      </c>
      <c r="L105" s="241"/>
      <c r="M105" s="241"/>
    </row>
    <row r="106" spans="1:15" x14ac:dyDescent="0.25">
      <c r="B106" s="72"/>
      <c r="C106" s="72"/>
      <c r="D106" s="72"/>
      <c r="E106" s="72"/>
      <c r="F106" s="74"/>
      <c r="G106" s="74"/>
      <c r="H106" s="73"/>
      <c r="I106" s="73"/>
      <c r="J106" s="79"/>
      <c r="K106" s="72"/>
      <c r="L106" s="79"/>
      <c r="M106" s="79"/>
    </row>
    <row r="107" spans="1:15" x14ac:dyDescent="0.25">
      <c r="A107" s="773"/>
      <c r="N107" s="5"/>
      <c r="O107" s="5"/>
    </row>
    <row r="108" spans="1:15" ht="15.6" x14ac:dyDescent="0.3">
      <c r="A108" s="773"/>
      <c r="B108" s="110" t="s">
        <v>285</v>
      </c>
      <c r="C108" s="82"/>
      <c r="D108" s="82"/>
      <c r="E108" s="82"/>
      <c r="F108" s="965" t="s">
        <v>159</v>
      </c>
      <c r="G108" s="965"/>
      <c r="H108" s="965" t="s">
        <v>158</v>
      </c>
      <c r="I108" s="965"/>
      <c r="J108" s="965" t="s">
        <v>273</v>
      </c>
      <c r="K108" s="965"/>
      <c r="L108" s="84"/>
      <c r="M108" s="84"/>
      <c r="N108" s="5"/>
      <c r="O108" s="5"/>
    </row>
    <row r="109" spans="1:15" ht="13.8" thickBot="1" x14ac:dyDescent="0.3">
      <c r="A109" s="773"/>
      <c r="B109" s="82"/>
      <c r="C109" s="82"/>
      <c r="D109" s="82"/>
      <c r="E109" s="82"/>
      <c r="F109" s="82"/>
      <c r="G109" s="82"/>
      <c r="H109" s="83"/>
      <c r="I109" s="83"/>
      <c r="J109" s="84"/>
      <c r="K109" s="84"/>
      <c r="L109" s="84"/>
      <c r="M109" s="84"/>
      <c r="N109" s="5"/>
      <c r="O109" s="5"/>
    </row>
    <row r="110" spans="1:15" ht="13.8" thickBot="1" x14ac:dyDescent="0.3">
      <c r="A110" s="773"/>
      <c r="B110" s="82"/>
      <c r="C110" s="82" t="s">
        <v>286</v>
      </c>
      <c r="D110" s="84"/>
      <c r="E110" s="82"/>
      <c r="F110" s="463">
        <f>S10*'Gårdens info'!$G$15/1</f>
        <v>0</v>
      </c>
      <c r="G110" s="82" t="s">
        <v>153</v>
      </c>
      <c r="H110" s="99">
        <v>0.01</v>
      </c>
      <c r="I110" s="83" t="s">
        <v>152</v>
      </c>
      <c r="J110" s="85">
        <f>F110*H110</f>
        <v>0</v>
      </c>
      <c r="K110" s="82" t="s">
        <v>14</v>
      </c>
      <c r="L110" s="84"/>
      <c r="M110" s="84"/>
      <c r="N110" s="5"/>
      <c r="O110" s="5"/>
    </row>
    <row r="111" spans="1:15" ht="13.8" thickBot="1" x14ac:dyDescent="0.3">
      <c r="A111" s="773"/>
      <c r="B111" s="82"/>
      <c r="C111" s="82" t="s">
        <v>287</v>
      </c>
      <c r="D111" s="84"/>
      <c r="E111" s="82"/>
      <c r="F111" s="463">
        <f>S11*'Gårdens info'!$G$15/1</f>
        <v>0</v>
      </c>
      <c r="G111" s="82" t="s">
        <v>153</v>
      </c>
      <c r="H111" s="99">
        <v>0.01</v>
      </c>
      <c r="I111" s="83" t="s">
        <v>152</v>
      </c>
      <c r="J111" s="85">
        <f t="shared" ref="J111:J117" si="11">F111*H111</f>
        <v>0</v>
      </c>
      <c r="K111" s="82" t="s">
        <v>14</v>
      </c>
      <c r="L111" s="84"/>
      <c r="M111" s="84"/>
      <c r="N111" s="5"/>
      <c r="O111" s="5"/>
    </row>
    <row r="112" spans="1:15" ht="13.8" thickBot="1" x14ac:dyDescent="0.3">
      <c r="A112" s="773"/>
      <c r="B112" s="82"/>
      <c r="C112" s="82" t="s">
        <v>288</v>
      </c>
      <c r="D112" s="84"/>
      <c r="E112" s="82"/>
      <c r="F112" s="463">
        <f>S12*'Gårdens info'!$G$15/1</f>
        <v>0</v>
      </c>
      <c r="G112" s="82" t="s">
        <v>153</v>
      </c>
      <c r="H112" s="99">
        <v>0.01</v>
      </c>
      <c r="I112" s="83" t="s">
        <v>152</v>
      </c>
      <c r="J112" s="85">
        <f t="shared" si="11"/>
        <v>0</v>
      </c>
      <c r="K112" s="82" t="s">
        <v>14</v>
      </c>
      <c r="L112" s="84"/>
      <c r="M112" s="84"/>
      <c r="N112" s="5"/>
      <c r="O112" s="5"/>
    </row>
    <row r="113" spans="1:21" ht="13.8" thickBot="1" x14ac:dyDescent="0.3">
      <c r="A113" s="773"/>
      <c r="B113" s="82"/>
      <c r="C113" s="82" t="s">
        <v>289</v>
      </c>
      <c r="D113" s="84"/>
      <c r="E113" s="82"/>
      <c r="F113" s="463">
        <f>S13*'Gårdens info'!$G$15/1</f>
        <v>0</v>
      </c>
      <c r="G113" s="82" t="s">
        <v>153</v>
      </c>
      <c r="H113" s="99">
        <v>0.05</v>
      </c>
      <c r="I113" s="83" t="s">
        <v>152</v>
      </c>
      <c r="J113" s="85">
        <f t="shared" si="11"/>
        <v>0</v>
      </c>
      <c r="K113" s="82" t="s">
        <v>14</v>
      </c>
      <c r="L113" s="84"/>
      <c r="M113" s="84"/>
      <c r="N113" s="5"/>
      <c r="O113" s="5"/>
    </row>
    <row r="114" spans="1:21" ht="13.8" thickBot="1" x14ac:dyDescent="0.3">
      <c r="A114" s="773"/>
      <c r="B114" s="82"/>
      <c r="C114" s="119" t="s">
        <v>290</v>
      </c>
      <c r="D114" s="99"/>
      <c r="E114" s="82" t="s">
        <v>21</v>
      </c>
      <c r="F114" s="463">
        <f>IF(S14&gt;0,S14*'Gårdens info'!$G$15/D114,0)</f>
        <v>0</v>
      </c>
      <c r="G114" s="82" t="s">
        <v>153</v>
      </c>
      <c r="H114" s="99"/>
      <c r="I114" s="83" t="s">
        <v>152</v>
      </c>
      <c r="J114" s="85">
        <f t="shared" ref="J114:J115" si="12">F114*H114</f>
        <v>0</v>
      </c>
      <c r="K114" s="82" t="s">
        <v>14</v>
      </c>
      <c r="L114" s="84"/>
      <c r="M114" s="84"/>
      <c r="N114" s="5"/>
      <c r="O114" s="5"/>
    </row>
    <row r="115" spans="1:21" ht="13.8" thickBot="1" x14ac:dyDescent="0.3">
      <c r="A115" s="773"/>
      <c r="B115" s="82"/>
      <c r="C115" s="119" t="s">
        <v>290</v>
      </c>
      <c r="D115" s="99"/>
      <c r="E115" s="82" t="s">
        <v>21</v>
      </c>
      <c r="F115" s="463">
        <f>IF(S15&gt;0,S15*'Gårdens info'!$G$15/D115,0)</f>
        <v>0</v>
      </c>
      <c r="G115" s="82" t="s">
        <v>153</v>
      </c>
      <c r="H115" s="99"/>
      <c r="I115" s="83" t="s">
        <v>152</v>
      </c>
      <c r="J115" s="85">
        <f t="shared" si="12"/>
        <v>0</v>
      </c>
      <c r="K115" s="82" t="s">
        <v>14</v>
      </c>
      <c r="L115" s="84"/>
      <c r="M115" s="84"/>
      <c r="N115" s="5"/>
      <c r="O115" s="5"/>
    </row>
    <row r="116" spans="1:21" ht="13.8" thickBot="1" x14ac:dyDescent="0.3">
      <c r="A116" s="773"/>
      <c r="B116" s="82"/>
      <c r="C116" s="119" t="s">
        <v>290</v>
      </c>
      <c r="D116" s="99"/>
      <c r="E116" s="82" t="s">
        <v>21</v>
      </c>
      <c r="F116" s="463">
        <f>IF(S16&gt;0,S16*'Gårdens info'!$G$15/D116,0)</f>
        <v>0</v>
      </c>
      <c r="G116" s="82" t="s">
        <v>153</v>
      </c>
      <c r="H116" s="99"/>
      <c r="I116" s="83" t="s">
        <v>152</v>
      </c>
      <c r="J116" s="85">
        <f t="shared" si="11"/>
        <v>0</v>
      </c>
      <c r="K116" s="82" t="s">
        <v>14</v>
      </c>
      <c r="L116" s="84"/>
      <c r="M116" s="84"/>
      <c r="N116" s="5"/>
      <c r="O116" s="5"/>
    </row>
    <row r="117" spans="1:21" ht="13.8" thickBot="1" x14ac:dyDescent="0.3">
      <c r="A117" s="773"/>
      <c r="B117" s="82"/>
      <c r="C117" s="119" t="s">
        <v>290</v>
      </c>
      <c r="D117" s="99"/>
      <c r="E117" s="82" t="s">
        <v>21</v>
      </c>
      <c r="F117" s="463">
        <f>IF(S17&gt;0,S17*'Gårdens info'!$G$15/D117,0)</f>
        <v>0</v>
      </c>
      <c r="G117" s="82" t="s">
        <v>153</v>
      </c>
      <c r="H117" s="99"/>
      <c r="I117" s="83" t="s">
        <v>152</v>
      </c>
      <c r="J117" s="85">
        <f t="shared" si="11"/>
        <v>0</v>
      </c>
      <c r="K117" s="82" t="s">
        <v>14</v>
      </c>
      <c r="L117" s="84"/>
      <c r="M117" s="84"/>
      <c r="N117" s="5"/>
      <c r="O117" s="5"/>
    </row>
    <row r="118" spans="1:21" x14ac:dyDescent="0.25">
      <c r="A118" s="773"/>
      <c r="B118" s="245"/>
      <c r="C118" s="245" t="s">
        <v>196</v>
      </c>
      <c r="D118" s="245"/>
      <c r="E118" s="245"/>
      <c r="F118" s="246"/>
      <c r="G118" s="245"/>
      <c r="H118" s="247"/>
      <c r="I118" s="248"/>
      <c r="J118" s="249">
        <f>SUM(J110:J117)</f>
        <v>0</v>
      </c>
      <c r="K118" s="245" t="s">
        <v>14</v>
      </c>
      <c r="L118" s="245"/>
      <c r="M118" s="245"/>
      <c r="N118" s="5"/>
      <c r="O118" s="5"/>
    </row>
    <row r="119" spans="1:21" x14ac:dyDescent="0.25">
      <c r="A119" s="773"/>
      <c r="B119" s="82"/>
      <c r="C119" s="82"/>
      <c r="D119" s="82"/>
      <c r="E119" s="82"/>
      <c r="F119" s="82"/>
      <c r="G119" s="82"/>
      <c r="H119" s="83"/>
      <c r="I119" s="83"/>
      <c r="J119" s="85"/>
      <c r="K119" s="82"/>
      <c r="L119" s="84"/>
      <c r="M119" s="84"/>
      <c r="N119" s="5"/>
      <c r="O119" s="5"/>
    </row>
    <row r="120" spans="1:21" x14ac:dyDescent="0.25">
      <c r="A120" s="773"/>
      <c r="N120" s="5"/>
      <c r="O120" s="5"/>
    </row>
    <row r="121" spans="1:21" s="8" customFormat="1" ht="15.6" x14ac:dyDescent="0.3">
      <c r="A121" s="774"/>
      <c r="B121" s="111" t="s">
        <v>291</v>
      </c>
      <c r="C121" s="87"/>
      <c r="D121" s="87"/>
      <c r="E121" s="87"/>
      <c r="F121" s="966" t="s">
        <v>159</v>
      </c>
      <c r="G121" s="966"/>
      <c r="H121" s="966" t="s">
        <v>158</v>
      </c>
      <c r="I121" s="966"/>
      <c r="J121" s="966" t="s">
        <v>273</v>
      </c>
      <c r="K121" s="966"/>
      <c r="L121" s="89"/>
      <c r="M121" s="89"/>
      <c r="N121" s="5"/>
      <c r="O121" s="5"/>
      <c r="P121"/>
      <c r="Q121"/>
      <c r="R121"/>
      <c r="S121"/>
      <c r="T121"/>
      <c r="U121"/>
    </row>
    <row r="122" spans="1:21" ht="13.8" thickBot="1" x14ac:dyDescent="0.3">
      <c r="A122" s="773"/>
      <c r="B122" s="87"/>
      <c r="C122" s="87"/>
      <c r="D122" s="87"/>
      <c r="E122" s="87"/>
      <c r="F122" s="87"/>
      <c r="G122" s="87"/>
      <c r="H122" s="88"/>
      <c r="I122" s="88"/>
      <c r="J122" s="89"/>
      <c r="K122" s="89"/>
      <c r="L122" s="89"/>
      <c r="M122" s="89"/>
      <c r="N122" s="5"/>
      <c r="O122" s="5"/>
    </row>
    <row r="123" spans="1:21" ht="13.8" thickBot="1" x14ac:dyDescent="0.3">
      <c r="A123" s="773"/>
      <c r="B123" s="87"/>
      <c r="C123" s="87" t="s">
        <v>247</v>
      </c>
      <c r="D123" s="89"/>
      <c r="E123" s="87"/>
      <c r="F123" s="96">
        <f>'Gårdens info'!G15*'Gårdens info'!D15*0.9</f>
        <v>0</v>
      </c>
      <c r="G123" s="87" t="s">
        <v>21</v>
      </c>
      <c r="H123" s="99">
        <v>0.02</v>
      </c>
      <c r="I123" s="88" t="s">
        <v>6</v>
      </c>
      <c r="J123" s="90">
        <f t="shared" ref="J123:J125" si="13">F123*H123</f>
        <v>0</v>
      </c>
      <c r="K123" s="87" t="s">
        <v>14</v>
      </c>
      <c r="L123" s="89"/>
      <c r="M123" s="89"/>
      <c r="N123" s="9"/>
      <c r="O123" s="9"/>
      <c r="P123" s="8"/>
      <c r="Q123" s="8"/>
      <c r="R123" s="8"/>
      <c r="S123" s="8"/>
      <c r="T123" s="8"/>
      <c r="U123" s="8"/>
    </row>
    <row r="124" spans="1:21" ht="13.8" thickBot="1" x14ac:dyDescent="0.3">
      <c r="A124" s="773"/>
      <c r="B124" s="87"/>
      <c r="C124" s="87" t="s">
        <v>292</v>
      </c>
      <c r="D124" s="87"/>
      <c r="E124" s="87"/>
      <c r="F124" s="96"/>
      <c r="G124" s="87" t="s">
        <v>21</v>
      </c>
      <c r="H124" s="99"/>
      <c r="I124" s="88" t="s">
        <v>6</v>
      </c>
      <c r="J124" s="90">
        <f t="shared" si="13"/>
        <v>0</v>
      </c>
      <c r="K124" s="87" t="s">
        <v>14</v>
      </c>
      <c r="L124" s="89"/>
      <c r="M124" s="89"/>
      <c r="N124" s="5"/>
      <c r="O124" s="5"/>
    </row>
    <row r="125" spans="1:21" ht="13.8" thickBot="1" x14ac:dyDescent="0.3">
      <c r="A125" s="773"/>
      <c r="B125" s="87"/>
      <c r="C125" s="87" t="s">
        <v>292</v>
      </c>
      <c r="D125" s="87"/>
      <c r="E125" s="87"/>
      <c r="F125" s="96"/>
      <c r="G125" s="87" t="s">
        <v>21</v>
      </c>
      <c r="H125" s="99"/>
      <c r="I125" s="88" t="s">
        <v>6</v>
      </c>
      <c r="J125" s="90">
        <f t="shared" si="13"/>
        <v>0</v>
      </c>
      <c r="K125" s="87" t="s">
        <v>14</v>
      </c>
      <c r="L125" s="89"/>
      <c r="M125" s="89"/>
      <c r="N125" s="5"/>
      <c r="O125" s="5"/>
    </row>
    <row r="126" spans="1:21" x14ac:dyDescent="0.25">
      <c r="A126" s="773"/>
      <c r="B126" s="250"/>
      <c r="C126" s="250" t="s">
        <v>196</v>
      </c>
      <c r="D126" s="250"/>
      <c r="E126" s="250"/>
      <c r="F126" s="251"/>
      <c r="G126" s="250"/>
      <c r="H126" s="252"/>
      <c r="I126" s="253"/>
      <c r="J126" s="254">
        <f>SUM(J123:J125)</f>
        <v>0</v>
      </c>
      <c r="K126" s="250" t="s">
        <v>14</v>
      </c>
      <c r="L126" s="250"/>
      <c r="M126" s="250"/>
      <c r="N126" s="5"/>
      <c r="O126" s="5"/>
    </row>
    <row r="127" spans="1:21" x14ac:dyDescent="0.25">
      <c r="A127" s="773"/>
      <c r="B127" s="87"/>
      <c r="C127" s="87"/>
      <c r="D127" s="87"/>
      <c r="E127" s="87"/>
      <c r="F127" s="87"/>
      <c r="G127" s="87"/>
      <c r="H127" s="88"/>
      <c r="I127" s="88"/>
      <c r="J127" s="90"/>
      <c r="K127" s="87"/>
      <c r="L127" s="89"/>
      <c r="M127" s="89"/>
      <c r="N127" s="5"/>
    </row>
    <row r="128" spans="1:21" x14ac:dyDescent="0.25">
      <c r="A128" s="773"/>
      <c r="N128" s="5"/>
    </row>
    <row r="129" spans="1:21" ht="15.6" x14ac:dyDescent="0.3">
      <c r="A129" s="773"/>
      <c r="B129" s="219" t="s">
        <v>293</v>
      </c>
      <c r="C129" s="220"/>
      <c r="D129" s="220"/>
      <c r="E129" s="220"/>
      <c r="F129" s="964" t="s">
        <v>159</v>
      </c>
      <c r="G129" s="964"/>
      <c r="H129" s="964" t="s">
        <v>158</v>
      </c>
      <c r="I129" s="964"/>
      <c r="J129" s="964" t="s">
        <v>273</v>
      </c>
      <c r="K129" s="964"/>
      <c r="L129" s="222"/>
      <c r="M129" s="222"/>
      <c r="N129" s="5"/>
    </row>
    <row r="130" spans="1:21" ht="13.8" thickBot="1" x14ac:dyDescent="0.3">
      <c r="A130" s="773"/>
      <c r="B130" s="220"/>
      <c r="C130" s="220"/>
      <c r="D130" s="220"/>
      <c r="E130" s="220"/>
      <c r="F130" s="220"/>
      <c r="G130" s="220"/>
      <c r="H130" s="221"/>
      <c r="I130" s="221"/>
      <c r="J130" s="222"/>
      <c r="K130" s="222"/>
      <c r="L130" s="222"/>
      <c r="M130" s="222"/>
      <c r="N130" s="5"/>
    </row>
    <row r="131" spans="1:21" ht="13.8" thickBot="1" x14ac:dyDescent="0.3">
      <c r="A131" s="773"/>
      <c r="B131" s="220"/>
      <c r="C131" s="220" t="s">
        <v>294</v>
      </c>
      <c r="D131" s="222"/>
      <c r="E131" s="220"/>
      <c r="F131" s="96"/>
      <c r="G131" s="220" t="s">
        <v>0</v>
      </c>
      <c r="H131" s="99"/>
      <c r="I131" s="221" t="s">
        <v>14</v>
      </c>
      <c r="J131" s="223">
        <f t="shared" ref="J131:J133" si="14">F131*H131</f>
        <v>0</v>
      </c>
      <c r="K131" s="220" t="s">
        <v>14</v>
      </c>
      <c r="L131" s="222"/>
      <c r="M131" s="222"/>
      <c r="N131" s="5"/>
    </row>
    <row r="132" spans="1:21" ht="13.8" thickBot="1" x14ac:dyDescent="0.3">
      <c r="B132" s="220"/>
      <c r="C132" s="220" t="s">
        <v>294</v>
      </c>
      <c r="D132" s="220"/>
      <c r="E132" s="220"/>
      <c r="F132" s="96"/>
      <c r="G132" s="220" t="s">
        <v>0</v>
      </c>
      <c r="H132" s="99"/>
      <c r="I132" s="221" t="s">
        <v>14</v>
      </c>
      <c r="J132" s="223">
        <f t="shared" si="14"/>
        <v>0</v>
      </c>
      <c r="K132" s="220" t="s">
        <v>14</v>
      </c>
      <c r="L132" s="222"/>
      <c r="M132" s="222"/>
    </row>
    <row r="133" spans="1:21" ht="13.8" thickBot="1" x14ac:dyDescent="0.3">
      <c r="B133" s="220"/>
      <c r="C133" s="220" t="s">
        <v>294</v>
      </c>
      <c r="D133" s="220"/>
      <c r="E133" s="220"/>
      <c r="F133" s="96"/>
      <c r="G133" s="220" t="s">
        <v>0</v>
      </c>
      <c r="H133" s="99"/>
      <c r="I133" s="221" t="s">
        <v>14</v>
      </c>
      <c r="J133" s="223">
        <f t="shared" si="14"/>
        <v>0</v>
      </c>
      <c r="K133" s="220" t="s">
        <v>14</v>
      </c>
      <c r="L133" s="222"/>
      <c r="M133" s="222"/>
    </row>
    <row r="134" spans="1:21" s="8" customFormat="1" x14ac:dyDescent="0.25">
      <c r="A134" s="71"/>
      <c r="B134" s="255"/>
      <c r="C134" s="255" t="s">
        <v>196</v>
      </c>
      <c r="D134" s="255"/>
      <c r="E134" s="255"/>
      <c r="F134" s="256"/>
      <c r="G134" s="255"/>
      <c r="H134" s="257"/>
      <c r="I134" s="258"/>
      <c r="J134" s="259">
        <f>SUM(J131:J133)</f>
        <v>0</v>
      </c>
      <c r="K134" s="255" t="s">
        <v>14</v>
      </c>
      <c r="L134" s="255"/>
      <c r="M134" s="255"/>
      <c r="N134"/>
      <c r="O134"/>
      <c r="P134"/>
      <c r="Q134"/>
      <c r="R134"/>
      <c r="S134"/>
      <c r="T134"/>
      <c r="U134"/>
    </row>
    <row r="135" spans="1:21" x14ac:dyDescent="0.25">
      <c r="B135" s="220"/>
      <c r="C135" s="220"/>
      <c r="D135" s="220"/>
      <c r="E135" s="220"/>
      <c r="F135" s="220"/>
      <c r="G135" s="220"/>
      <c r="H135" s="221"/>
      <c r="I135" s="221"/>
      <c r="J135" s="223"/>
      <c r="K135" s="220"/>
      <c r="L135" s="222"/>
      <c r="M135" s="222"/>
    </row>
    <row r="136" spans="1:21" ht="30" customHeight="1" x14ac:dyDescent="0.25">
      <c r="N136" s="8"/>
      <c r="O136" s="8"/>
      <c r="P136" s="8"/>
      <c r="Q136" s="8"/>
      <c r="R136" s="8"/>
      <c r="S136" s="8"/>
      <c r="T136" s="8"/>
      <c r="U136" s="8"/>
    </row>
    <row r="137" spans="1:21" ht="15.6" x14ac:dyDescent="0.3">
      <c r="B137" s="225" t="s">
        <v>295</v>
      </c>
      <c r="C137" s="226"/>
      <c r="D137" s="226"/>
      <c r="E137" s="227"/>
      <c r="F137" s="226" t="s">
        <v>159</v>
      </c>
      <c r="G137" s="228"/>
      <c r="H137" s="228" t="s">
        <v>158</v>
      </c>
      <c r="I137" s="226"/>
      <c r="J137" s="226"/>
      <c r="K137" s="229"/>
      <c r="L137" s="229"/>
      <c r="M137" s="229"/>
    </row>
    <row r="138" spans="1:21" ht="16.2" thickBot="1" x14ac:dyDescent="0.35">
      <c r="B138" s="225"/>
      <c r="C138" s="226"/>
      <c r="D138" s="226"/>
      <c r="E138" s="227"/>
      <c r="F138" s="226"/>
      <c r="G138" s="228"/>
      <c r="H138" s="228"/>
      <c r="I138" s="226"/>
      <c r="J138" s="226"/>
      <c r="K138" s="229"/>
      <c r="L138" s="229"/>
      <c r="M138" s="229"/>
    </row>
    <row r="139" spans="1:21" ht="13.8" thickBot="1" x14ac:dyDescent="0.3">
      <c r="B139" s="226"/>
      <c r="C139" s="226" t="s">
        <v>296</v>
      </c>
      <c r="D139" s="229"/>
      <c r="E139" s="230"/>
      <c r="F139" s="96">
        <v>10500</v>
      </c>
      <c r="G139" s="231" t="s">
        <v>18</v>
      </c>
      <c r="H139" s="96">
        <v>0.15</v>
      </c>
      <c r="I139" s="232" t="s">
        <v>10</v>
      </c>
      <c r="J139" s="229">
        <f>H139*F139</f>
        <v>1575</v>
      </c>
      <c r="K139" s="232" t="s">
        <v>14</v>
      </c>
      <c r="L139" s="229"/>
      <c r="M139" s="229"/>
    </row>
    <row r="140" spans="1:21" ht="13.8" thickBot="1" x14ac:dyDescent="0.3">
      <c r="B140" s="226"/>
      <c r="C140" s="226" t="s">
        <v>297</v>
      </c>
      <c r="D140" s="232">
        <f>F173/2</f>
        <v>74.5</v>
      </c>
      <c r="E140" s="226" t="s">
        <v>9</v>
      </c>
      <c r="F140" s="96">
        <f>+D140*8</f>
        <v>596</v>
      </c>
      <c r="G140" s="228" t="s">
        <v>20</v>
      </c>
      <c r="H140" s="96">
        <v>0.83</v>
      </c>
      <c r="I140" s="232" t="s">
        <v>5</v>
      </c>
      <c r="J140" s="229">
        <f>H140*F140</f>
        <v>494.67999999999995</v>
      </c>
      <c r="K140" s="232" t="s">
        <v>14</v>
      </c>
      <c r="L140" s="229"/>
      <c r="M140" s="229"/>
    </row>
    <row r="141" spans="1:21" ht="13.8" thickBot="1" x14ac:dyDescent="0.3">
      <c r="B141" s="226"/>
      <c r="C141" s="226" t="s">
        <v>298</v>
      </c>
      <c r="D141" s="232">
        <f>D140</f>
        <v>74.5</v>
      </c>
      <c r="E141" s="226" t="s">
        <v>9</v>
      </c>
      <c r="F141" s="96">
        <v>11.88</v>
      </c>
      <c r="G141" s="228" t="s">
        <v>21</v>
      </c>
      <c r="H141" s="96">
        <v>4</v>
      </c>
      <c r="I141" s="232" t="s">
        <v>6</v>
      </c>
      <c r="J141" s="229">
        <f t="shared" ref="J141:J145" si="15">H141*F141</f>
        <v>47.52</v>
      </c>
      <c r="K141" s="232" t="s">
        <v>14</v>
      </c>
      <c r="L141" s="229"/>
      <c r="M141" s="229"/>
    </row>
    <row r="142" spans="1:21" ht="13.8" thickBot="1" x14ac:dyDescent="0.3">
      <c r="B142" s="226"/>
      <c r="C142" s="226" t="s">
        <v>19</v>
      </c>
      <c r="D142" s="229"/>
      <c r="E142" s="232"/>
      <c r="F142" s="96">
        <v>200</v>
      </c>
      <c r="G142" s="228" t="s">
        <v>20</v>
      </c>
      <c r="H142" s="96">
        <v>1.53</v>
      </c>
      <c r="I142" s="232" t="s">
        <v>5</v>
      </c>
      <c r="J142" s="229">
        <f t="shared" si="15"/>
        <v>306</v>
      </c>
      <c r="K142" s="232" t="s">
        <v>14</v>
      </c>
      <c r="L142" s="229"/>
      <c r="M142" s="229"/>
    </row>
    <row r="143" spans="1:21" ht="13.8" thickBot="1" x14ac:dyDescent="0.3">
      <c r="B143" s="226"/>
      <c r="C143" s="226" t="s">
        <v>299</v>
      </c>
      <c r="D143" s="229"/>
      <c r="E143" s="232"/>
      <c r="F143" s="96"/>
      <c r="G143" s="228" t="s">
        <v>20</v>
      </c>
      <c r="H143" s="96"/>
      <c r="I143" s="232" t="s">
        <v>5</v>
      </c>
      <c r="J143" s="229">
        <f t="shared" si="15"/>
        <v>0</v>
      </c>
      <c r="K143" s="232" t="s">
        <v>14</v>
      </c>
      <c r="L143" s="229"/>
      <c r="M143" s="229"/>
    </row>
    <row r="144" spans="1:21" ht="13.8" thickBot="1" x14ac:dyDescent="0.3">
      <c r="B144" s="226"/>
      <c r="C144" s="226" t="s">
        <v>300</v>
      </c>
      <c r="D144" s="229"/>
      <c r="E144" s="232"/>
      <c r="F144" s="96"/>
      <c r="G144" s="228"/>
      <c r="H144" s="96"/>
      <c r="I144" s="232"/>
      <c r="J144" s="229">
        <f t="shared" si="15"/>
        <v>0</v>
      </c>
      <c r="K144" s="232" t="s">
        <v>14</v>
      </c>
      <c r="L144" s="229"/>
      <c r="M144" s="229"/>
    </row>
    <row r="145" spans="1:21" ht="13.8" thickBot="1" x14ac:dyDescent="0.3">
      <c r="B145" s="229"/>
      <c r="C145" s="226" t="s">
        <v>300</v>
      </c>
      <c r="D145" s="229"/>
      <c r="E145" s="229"/>
      <c r="F145" s="96"/>
      <c r="G145" s="229"/>
      <c r="H145" s="96"/>
      <c r="I145" s="229"/>
      <c r="J145" s="229">
        <f t="shared" si="15"/>
        <v>0</v>
      </c>
      <c r="K145" s="232" t="s">
        <v>14</v>
      </c>
      <c r="L145" s="229"/>
      <c r="M145" s="229"/>
    </row>
    <row r="146" spans="1:21" s="8" customFormat="1" x14ac:dyDescent="0.25">
      <c r="A146" s="71"/>
      <c r="B146" s="260"/>
      <c r="C146" s="260" t="s">
        <v>196</v>
      </c>
      <c r="D146" s="260"/>
      <c r="E146" s="260"/>
      <c r="F146" s="261"/>
      <c r="G146" s="260"/>
      <c r="H146" s="261"/>
      <c r="I146" s="260"/>
      <c r="J146" s="260">
        <f>SUM(J139:J145)</f>
        <v>2423.1999999999998</v>
      </c>
      <c r="K146" s="262" t="s">
        <v>14</v>
      </c>
      <c r="L146" s="260"/>
      <c r="M146" s="260"/>
    </row>
    <row r="147" spans="1:21" x14ac:dyDescent="0.25">
      <c r="B147" s="229"/>
      <c r="C147" s="229"/>
      <c r="D147" s="229"/>
      <c r="E147" s="229"/>
      <c r="F147" s="229"/>
      <c r="G147" s="229"/>
      <c r="H147" s="229"/>
      <c r="I147" s="229"/>
      <c r="J147" s="229"/>
      <c r="K147" s="229"/>
      <c r="L147" s="229"/>
      <c r="M147" s="229"/>
    </row>
    <row r="149" spans="1:21" ht="15.6" x14ac:dyDescent="0.3">
      <c r="B149" s="112" t="s">
        <v>301</v>
      </c>
      <c r="C149" s="101"/>
      <c r="D149" s="101"/>
      <c r="E149" s="101"/>
      <c r="F149" s="101"/>
      <c r="G149" s="101"/>
      <c r="H149" s="101"/>
      <c r="I149" s="101"/>
      <c r="J149" s="101"/>
      <c r="K149" s="101"/>
      <c r="L149" s="101"/>
      <c r="M149" s="101"/>
    </row>
    <row r="150" spans="1:21" ht="15.6" x14ac:dyDescent="0.3">
      <c r="B150" s="112"/>
      <c r="C150" s="101"/>
      <c r="D150" s="101"/>
      <c r="E150" s="101"/>
      <c r="F150" s="101"/>
      <c r="G150" s="101"/>
      <c r="H150" s="101"/>
      <c r="I150" s="101"/>
      <c r="J150" s="101"/>
      <c r="K150" s="101"/>
      <c r="L150" s="101"/>
      <c r="M150" s="101"/>
    </row>
    <row r="151" spans="1:21" ht="15" customHeight="1" x14ac:dyDescent="0.25">
      <c r="B151" s="961" t="s">
        <v>302</v>
      </c>
      <c r="C151" s="961"/>
      <c r="D151" s="961"/>
      <c r="E151" s="961"/>
      <c r="F151" s="961"/>
      <c r="G151" s="961"/>
      <c r="H151" s="961"/>
      <c r="I151" s="961"/>
      <c r="J151" s="961"/>
      <c r="K151" s="961"/>
      <c r="L151" s="961"/>
      <c r="M151" s="961"/>
    </row>
    <row r="152" spans="1:21" s="8" customFormat="1" ht="15.6" x14ac:dyDescent="0.3">
      <c r="A152" s="71"/>
      <c r="B152" s="112"/>
      <c r="C152" s="101"/>
      <c r="D152" s="101"/>
      <c r="E152" s="834"/>
      <c r="F152" s="834"/>
      <c r="G152" s="834"/>
      <c r="H152" s="835"/>
      <c r="I152" s="835"/>
      <c r="J152" s="834"/>
      <c r="K152" s="834"/>
      <c r="L152" s="835"/>
      <c r="M152" s="835"/>
      <c r="N152"/>
      <c r="O152"/>
      <c r="P152"/>
      <c r="Q152"/>
      <c r="R152"/>
      <c r="S152"/>
      <c r="T152"/>
      <c r="U152"/>
    </row>
    <row r="153" spans="1:21" ht="15.6" x14ac:dyDescent="0.3">
      <c r="B153" s="112"/>
      <c r="C153" s="101"/>
      <c r="D153" s="101"/>
      <c r="E153" s="962" t="s">
        <v>303</v>
      </c>
      <c r="F153" s="962"/>
      <c r="G153" s="962"/>
      <c r="H153" s="963" t="s">
        <v>158</v>
      </c>
      <c r="I153" s="963"/>
      <c r="J153" s="963" t="s">
        <v>304</v>
      </c>
      <c r="K153" s="963"/>
      <c r="L153" s="963" t="s">
        <v>158</v>
      </c>
      <c r="M153" s="963"/>
    </row>
    <row r="154" spans="1:21" ht="33" customHeight="1" thickBot="1" x14ac:dyDescent="0.3">
      <c r="B154" s="100"/>
      <c r="C154" s="101"/>
      <c r="D154" s="101"/>
      <c r="E154" s="101"/>
      <c r="F154" s="101"/>
      <c r="G154" s="101"/>
      <c r="H154" s="101"/>
      <c r="I154" s="101"/>
      <c r="J154" s="101"/>
      <c r="K154" s="101"/>
      <c r="L154" s="101"/>
      <c r="M154" s="101"/>
      <c r="N154" s="8"/>
      <c r="O154" s="8"/>
      <c r="P154" s="8"/>
      <c r="Q154" s="8"/>
      <c r="R154" s="8"/>
      <c r="S154" s="8"/>
      <c r="T154" s="8"/>
      <c r="U154" s="8"/>
    </row>
    <row r="155" spans="1:21" ht="13.8" thickBot="1" x14ac:dyDescent="0.3">
      <c r="B155" s="101"/>
      <c r="C155" s="102" t="s">
        <v>307</v>
      </c>
      <c r="D155" s="101"/>
      <c r="E155" s="101"/>
      <c r="F155" s="115">
        <v>2</v>
      </c>
      <c r="G155" s="104" t="s">
        <v>22</v>
      </c>
      <c r="H155" s="117">
        <v>14.5</v>
      </c>
      <c r="I155" s="104" t="s">
        <v>11</v>
      </c>
      <c r="J155" s="116"/>
      <c r="K155" s="104" t="s">
        <v>22</v>
      </c>
      <c r="L155" s="117">
        <v>14.5</v>
      </c>
      <c r="M155" s="104" t="s">
        <v>11</v>
      </c>
    </row>
    <row r="156" spans="1:21" ht="13.8" thickBot="1" x14ac:dyDescent="0.3">
      <c r="B156" s="101"/>
      <c r="C156" s="102" t="s">
        <v>309</v>
      </c>
      <c r="D156" s="101"/>
      <c r="E156" s="101"/>
      <c r="F156" s="115">
        <v>4</v>
      </c>
      <c r="G156" s="104" t="s">
        <v>22</v>
      </c>
      <c r="H156" s="114">
        <f>H155</f>
        <v>14.5</v>
      </c>
      <c r="I156" s="104" t="s">
        <v>11</v>
      </c>
      <c r="J156" s="116"/>
      <c r="K156" s="104" t="s">
        <v>22</v>
      </c>
      <c r="L156" s="114">
        <f>L155</f>
        <v>14.5</v>
      </c>
      <c r="M156" s="104" t="s">
        <v>11</v>
      </c>
    </row>
    <row r="157" spans="1:21" ht="13.8" thickBot="1" x14ac:dyDescent="0.3">
      <c r="B157" s="101"/>
      <c r="C157" s="102" t="s">
        <v>308</v>
      </c>
      <c r="D157" s="101"/>
      <c r="E157" s="101"/>
      <c r="F157" s="115">
        <v>6</v>
      </c>
      <c r="G157" s="104" t="s">
        <v>22</v>
      </c>
      <c r="H157" s="114">
        <f t="shared" ref="H157:H172" si="16">H156</f>
        <v>14.5</v>
      </c>
      <c r="I157" s="104" t="s">
        <v>11</v>
      </c>
      <c r="J157" s="116"/>
      <c r="K157" s="104" t="s">
        <v>22</v>
      </c>
      <c r="L157" s="114">
        <f t="shared" ref="L157:L172" si="17">L156</f>
        <v>14.5</v>
      </c>
      <c r="M157" s="104" t="s">
        <v>11</v>
      </c>
    </row>
    <row r="158" spans="1:21" ht="13.8" thickBot="1" x14ac:dyDescent="0.3">
      <c r="B158" s="101"/>
      <c r="C158" s="102" t="s">
        <v>310</v>
      </c>
      <c r="D158" s="101"/>
      <c r="E158" s="101"/>
      <c r="F158" s="115">
        <v>4</v>
      </c>
      <c r="G158" s="104" t="s">
        <v>22</v>
      </c>
      <c r="H158" s="114">
        <f t="shared" si="16"/>
        <v>14.5</v>
      </c>
      <c r="I158" s="104" t="s">
        <v>11</v>
      </c>
      <c r="J158" s="116"/>
      <c r="K158" s="104" t="s">
        <v>22</v>
      </c>
      <c r="L158" s="114">
        <f t="shared" si="17"/>
        <v>14.5</v>
      </c>
      <c r="M158" s="104" t="s">
        <v>11</v>
      </c>
    </row>
    <row r="159" spans="1:21" ht="13.8" thickBot="1" x14ac:dyDescent="0.3">
      <c r="B159" s="101"/>
      <c r="C159" s="102" t="s">
        <v>311</v>
      </c>
      <c r="D159" s="101"/>
      <c r="E159" s="101"/>
      <c r="F159" s="115">
        <v>5</v>
      </c>
      <c r="G159" s="104" t="s">
        <v>22</v>
      </c>
      <c r="H159" s="114">
        <f t="shared" si="16"/>
        <v>14.5</v>
      </c>
      <c r="I159" s="104" t="s">
        <v>11</v>
      </c>
      <c r="J159" s="116"/>
      <c r="K159" s="104" t="s">
        <v>22</v>
      </c>
      <c r="L159" s="114">
        <f t="shared" si="17"/>
        <v>14.5</v>
      </c>
      <c r="M159" s="104" t="s">
        <v>11</v>
      </c>
    </row>
    <row r="160" spans="1:21" ht="13.8" thickBot="1" x14ac:dyDescent="0.3">
      <c r="B160" s="101"/>
      <c r="C160" s="102" t="s">
        <v>312</v>
      </c>
      <c r="D160" s="101"/>
      <c r="E160" s="101"/>
      <c r="F160" s="115">
        <v>8</v>
      </c>
      <c r="G160" s="104" t="s">
        <v>22</v>
      </c>
      <c r="H160" s="114">
        <f t="shared" si="16"/>
        <v>14.5</v>
      </c>
      <c r="I160" s="104" t="s">
        <v>11</v>
      </c>
      <c r="J160" s="116"/>
      <c r="K160" s="104" t="s">
        <v>22</v>
      </c>
      <c r="L160" s="114">
        <f t="shared" si="17"/>
        <v>14.5</v>
      </c>
      <c r="M160" s="104" t="s">
        <v>11</v>
      </c>
    </row>
    <row r="161" spans="1:21" ht="13.8" thickBot="1" x14ac:dyDescent="0.3">
      <c r="B161" s="101"/>
      <c r="C161" s="102" t="s">
        <v>315</v>
      </c>
      <c r="D161" s="101"/>
      <c r="E161" s="101"/>
      <c r="F161" s="115">
        <v>4</v>
      </c>
      <c r="G161" s="104" t="s">
        <v>22</v>
      </c>
      <c r="H161" s="114">
        <f t="shared" si="16"/>
        <v>14.5</v>
      </c>
      <c r="I161" s="104" t="s">
        <v>11</v>
      </c>
      <c r="J161" s="116"/>
      <c r="K161" s="104" t="s">
        <v>22</v>
      </c>
      <c r="L161" s="114">
        <f t="shared" si="17"/>
        <v>14.5</v>
      </c>
      <c r="M161" s="104" t="s">
        <v>11</v>
      </c>
    </row>
    <row r="162" spans="1:21" s="8" customFormat="1" ht="13.8" thickBot="1" x14ac:dyDescent="0.3">
      <c r="A162" s="71"/>
      <c r="B162" s="101"/>
      <c r="C162" s="102" t="s">
        <v>313</v>
      </c>
      <c r="D162" s="101"/>
      <c r="E162" s="101"/>
      <c r="F162" s="115">
        <v>20</v>
      </c>
      <c r="G162" s="104" t="s">
        <v>22</v>
      </c>
      <c r="H162" s="114">
        <f t="shared" si="16"/>
        <v>14.5</v>
      </c>
      <c r="I162" s="104" t="s">
        <v>11</v>
      </c>
      <c r="J162" s="116"/>
      <c r="K162" s="104" t="s">
        <v>22</v>
      </c>
      <c r="L162" s="114">
        <f t="shared" si="17"/>
        <v>14.5</v>
      </c>
      <c r="M162" s="104" t="s">
        <v>11</v>
      </c>
      <c r="N162"/>
      <c r="O162"/>
      <c r="P162"/>
      <c r="Q162"/>
      <c r="R162"/>
      <c r="S162"/>
      <c r="T162"/>
      <c r="U162"/>
    </row>
    <row r="163" spans="1:21" ht="13.8" thickBot="1" x14ac:dyDescent="0.3">
      <c r="B163" s="101"/>
      <c r="C163" s="102" t="s">
        <v>314</v>
      </c>
      <c r="D163" s="101"/>
      <c r="E163" s="101"/>
      <c r="F163" s="115">
        <v>4</v>
      </c>
      <c r="G163" s="104" t="s">
        <v>22</v>
      </c>
      <c r="H163" s="114">
        <f t="shared" si="16"/>
        <v>14.5</v>
      </c>
      <c r="I163" s="104" t="s">
        <v>11</v>
      </c>
      <c r="J163" s="116"/>
      <c r="K163" s="104" t="s">
        <v>22</v>
      </c>
      <c r="L163" s="114">
        <f t="shared" si="17"/>
        <v>14.5</v>
      </c>
      <c r="M163" s="104" t="s">
        <v>11</v>
      </c>
    </row>
    <row r="164" spans="1:21" ht="13.8" thickBot="1" x14ac:dyDescent="0.3">
      <c r="B164" s="101"/>
      <c r="C164" s="102" t="s">
        <v>316</v>
      </c>
      <c r="D164" s="101"/>
      <c r="E164" s="101"/>
      <c r="F164" s="115">
        <v>4</v>
      </c>
      <c r="G164" s="104" t="s">
        <v>22</v>
      </c>
      <c r="H164" s="114">
        <f t="shared" si="16"/>
        <v>14.5</v>
      </c>
      <c r="I164" s="104" t="s">
        <v>11</v>
      </c>
      <c r="J164" s="116"/>
      <c r="K164" s="104" t="s">
        <v>22</v>
      </c>
      <c r="L164" s="114">
        <f t="shared" si="17"/>
        <v>14.5</v>
      </c>
      <c r="M164" s="104" t="s">
        <v>11</v>
      </c>
      <c r="N164" s="8"/>
      <c r="O164" s="8"/>
      <c r="P164" s="8"/>
      <c r="Q164" s="8"/>
      <c r="R164" s="8"/>
      <c r="S164" s="8"/>
      <c r="T164" s="8"/>
      <c r="U164" s="8"/>
    </row>
    <row r="165" spans="1:21" ht="13.8" thickBot="1" x14ac:dyDescent="0.3">
      <c r="B165" s="101"/>
      <c r="C165" s="102" t="s">
        <v>317</v>
      </c>
      <c r="D165" s="101"/>
      <c r="E165" s="101"/>
      <c r="F165" s="115">
        <v>8</v>
      </c>
      <c r="G165" s="104" t="s">
        <v>22</v>
      </c>
      <c r="H165" s="114">
        <f t="shared" si="16"/>
        <v>14.5</v>
      </c>
      <c r="I165" s="104" t="s">
        <v>11</v>
      </c>
      <c r="J165" s="116"/>
      <c r="K165" s="104" t="s">
        <v>22</v>
      </c>
      <c r="L165" s="114">
        <f t="shared" si="17"/>
        <v>14.5</v>
      </c>
      <c r="M165" s="104" t="s">
        <v>11</v>
      </c>
    </row>
    <row r="166" spans="1:21" ht="13.8" thickBot="1" x14ac:dyDescent="0.3">
      <c r="B166" s="101"/>
      <c r="C166" s="102" t="s">
        <v>132</v>
      </c>
      <c r="D166" s="101"/>
      <c r="E166" s="101"/>
      <c r="F166" s="115">
        <v>20</v>
      </c>
      <c r="G166" s="104" t="s">
        <v>22</v>
      </c>
      <c r="H166" s="114">
        <f t="shared" si="16"/>
        <v>14.5</v>
      </c>
      <c r="I166" s="104" t="s">
        <v>11</v>
      </c>
      <c r="J166" s="116">
        <v>20</v>
      </c>
      <c r="K166" s="104" t="s">
        <v>22</v>
      </c>
      <c r="L166" s="114">
        <f t="shared" si="17"/>
        <v>14.5</v>
      </c>
      <c r="M166" s="104" t="s">
        <v>11</v>
      </c>
    </row>
    <row r="167" spans="1:21" ht="13.8" thickBot="1" x14ac:dyDescent="0.3">
      <c r="B167" s="101"/>
      <c r="C167" s="102" t="s">
        <v>318</v>
      </c>
      <c r="D167" s="101"/>
      <c r="E167" s="101"/>
      <c r="F167" s="115">
        <v>10</v>
      </c>
      <c r="G167" s="104" t="s">
        <v>22</v>
      </c>
      <c r="H167" s="114">
        <f t="shared" si="16"/>
        <v>14.5</v>
      </c>
      <c r="I167" s="104" t="s">
        <v>11</v>
      </c>
      <c r="J167" s="116"/>
      <c r="K167" s="104" t="s">
        <v>22</v>
      </c>
      <c r="L167" s="114">
        <f t="shared" si="17"/>
        <v>14.5</v>
      </c>
      <c r="M167" s="104" t="s">
        <v>11</v>
      </c>
    </row>
    <row r="168" spans="1:21" ht="13.8" thickBot="1" x14ac:dyDescent="0.3">
      <c r="B168" s="101"/>
      <c r="C168" s="102" t="s">
        <v>319</v>
      </c>
      <c r="D168" s="101"/>
      <c r="E168" s="101"/>
      <c r="F168" s="116">
        <v>40</v>
      </c>
      <c r="G168" s="104" t="s">
        <v>22</v>
      </c>
      <c r="H168" s="114">
        <f t="shared" si="16"/>
        <v>14.5</v>
      </c>
      <c r="I168" s="104" t="s">
        <v>11</v>
      </c>
      <c r="J168" s="116">
        <v>40</v>
      </c>
      <c r="K168" s="104" t="s">
        <v>22</v>
      </c>
      <c r="L168" s="114">
        <f t="shared" si="17"/>
        <v>14.5</v>
      </c>
      <c r="M168" s="104" t="s">
        <v>11</v>
      </c>
    </row>
    <row r="169" spans="1:21" ht="13.8" thickBot="1" x14ac:dyDescent="0.3">
      <c r="B169" s="101"/>
      <c r="C169" s="102" t="s">
        <v>306</v>
      </c>
      <c r="D169" s="101"/>
      <c r="E169" s="101"/>
      <c r="F169" s="116">
        <v>10</v>
      </c>
      <c r="G169" s="104" t="s">
        <v>22</v>
      </c>
      <c r="H169" s="114">
        <f t="shared" si="16"/>
        <v>14.5</v>
      </c>
      <c r="I169" s="104" t="s">
        <v>11</v>
      </c>
      <c r="J169" s="116"/>
      <c r="K169" s="104" t="s">
        <v>22</v>
      </c>
      <c r="L169" s="114">
        <f t="shared" si="17"/>
        <v>14.5</v>
      </c>
      <c r="M169" s="104" t="s">
        <v>11</v>
      </c>
    </row>
    <row r="170" spans="1:21" ht="13.8" thickBot="1" x14ac:dyDescent="0.3">
      <c r="B170" s="101"/>
      <c r="C170" s="102" t="s">
        <v>305</v>
      </c>
      <c r="D170" s="101"/>
      <c r="E170" s="101"/>
      <c r="F170" s="116"/>
      <c r="G170" s="104" t="s">
        <v>22</v>
      </c>
      <c r="H170" s="114">
        <f t="shared" si="16"/>
        <v>14.5</v>
      </c>
      <c r="I170" s="104" t="s">
        <v>11</v>
      </c>
      <c r="J170" s="97"/>
      <c r="K170" s="104" t="s">
        <v>22</v>
      </c>
      <c r="L170" s="114">
        <f t="shared" si="17"/>
        <v>14.5</v>
      </c>
      <c r="M170" s="104" t="s">
        <v>11</v>
      </c>
    </row>
    <row r="171" spans="1:21" ht="13.8" thickBot="1" x14ac:dyDescent="0.3">
      <c r="B171" s="101"/>
      <c r="C171" s="102" t="s">
        <v>305</v>
      </c>
      <c r="D171" s="101"/>
      <c r="E171" s="101"/>
      <c r="F171" s="116"/>
      <c r="G171" s="104" t="s">
        <v>22</v>
      </c>
      <c r="H171" s="114">
        <f t="shared" si="16"/>
        <v>14.5</v>
      </c>
      <c r="I171" s="104" t="s">
        <v>11</v>
      </c>
      <c r="J171" s="97"/>
      <c r="K171" s="104" t="s">
        <v>22</v>
      </c>
      <c r="L171" s="114">
        <f t="shared" si="17"/>
        <v>14.5</v>
      </c>
      <c r="M171" s="104" t="s">
        <v>11</v>
      </c>
    </row>
    <row r="172" spans="1:21" ht="13.8" thickBot="1" x14ac:dyDescent="0.3">
      <c r="B172" s="101"/>
      <c r="C172" s="102" t="s">
        <v>305</v>
      </c>
      <c r="D172" s="103"/>
      <c r="E172" s="103"/>
      <c r="F172" s="97"/>
      <c r="G172" s="104" t="s">
        <v>22</v>
      </c>
      <c r="H172" s="114">
        <f t="shared" si="16"/>
        <v>14.5</v>
      </c>
      <c r="I172" s="104" t="s">
        <v>11</v>
      </c>
      <c r="J172" s="97"/>
      <c r="K172" s="104" t="s">
        <v>22</v>
      </c>
      <c r="L172" s="114">
        <f t="shared" si="17"/>
        <v>14.5</v>
      </c>
      <c r="M172" s="104" t="s">
        <v>11</v>
      </c>
    </row>
    <row r="173" spans="1:21" x14ac:dyDescent="0.25">
      <c r="B173" s="264"/>
      <c r="C173" s="265" t="s">
        <v>196</v>
      </c>
      <c r="D173" s="266"/>
      <c r="E173" s="266"/>
      <c r="F173" s="267">
        <f>SUM(F155:F172)</f>
        <v>149</v>
      </c>
      <c r="G173" s="264" t="s">
        <v>22</v>
      </c>
      <c r="H173" s="268">
        <f>F173*H155</f>
        <v>2160.5</v>
      </c>
      <c r="I173" s="264" t="s">
        <v>14</v>
      </c>
      <c r="J173" s="269">
        <f>SUM(J155:J172)</f>
        <v>60</v>
      </c>
      <c r="K173" s="264" t="s">
        <v>22</v>
      </c>
      <c r="L173" s="268">
        <f>J173*L155</f>
        <v>870</v>
      </c>
      <c r="M173" s="264" t="s">
        <v>14</v>
      </c>
    </row>
    <row r="175" spans="1:21" ht="40.049999999999997" customHeight="1" x14ac:dyDescent="0.25">
      <c r="N175" s="8"/>
      <c r="O175" s="8"/>
      <c r="P175" s="8"/>
      <c r="Q175" s="8"/>
      <c r="R175" s="8"/>
      <c r="S175" s="8"/>
      <c r="T175" s="8"/>
      <c r="U175" s="8"/>
    </row>
    <row r="178" spans="1:21" ht="37.950000000000003" customHeight="1" x14ac:dyDescent="0.25"/>
    <row r="190" spans="1:21" s="8" customFormat="1" x14ac:dyDescent="0.25">
      <c r="A190" s="71"/>
      <c r="B190"/>
      <c r="C190"/>
      <c r="D190"/>
      <c r="E190"/>
      <c r="F190"/>
      <c r="G190"/>
      <c r="H190"/>
      <c r="I190"/>
      <c r="J190"/>
      <c r="K190"/>
      <c r="L190"/>
      <c r="M190"/>
      <c r="N190"/>
      <c r="O190"/>
      <c r="P190"/>
      <c r="Q190"/>
      <c r="R190"/>
      <c r="S190"/>
      <c r="T190"/>
      <c r="U190"/>
    </row>
    <row r="192" spans="1:21" x14ac:dyDescent="0.25">
      <c r="N192" s="8"/>
      <c r="O192" s="8"/>
      <c r="P192" s="8"/>
      <c r="Q192" s="8"/>
      <c r="R192" s="8"/>
      <c r="S192" s="8"/>
      <c r="T192" s="8"/>
      <c r="U192" s="8"/>
    </row>
  </sheetData>
  <mergeCells count="45">
    <mergeCell ref="F129:G129"/>
    <mergeCell ref="H129:I129"/>
    <mergeCell ref="J129:K129"/>
    <mergeCell ref="B151:M151"/>
    <mergeCell ref="E153:G153"/>
    <mergeCell ref="H153:I153"/>
    <mergeCell ref="J153:K153"/>
    <mergeCell ref="L153:M153"/>
    <mergeCell ref="F108:G108"/>
    <mergeCell ref="H108:I108"/>
    <mergeCell ref="J108:K108"/>
    <mergeCell ref="F121:G121"/>
    <mergeCell ref="H121:I121"/>
    <mergeCell ref="J121:K121"/>
    <mergeCell ref="L69:M69"/>
    <mergeCell ref="F76:G76"/>
    <mergeCell ref="H76:I76"/>
    <mergeCell ref="J76:K76"/>
    <mergeCell ref="F87:G87"/>
    <mergeCell ref="H87:I87"/>
    <mergeCell ref="J87:K87"/>
    <mergeCell ref="F71:G71"/>
    <mergeCell ref="H71:I71"/>
    <mergeCell ref="J71:K71"/>
    <mergeCell ref="C41:D41"/>
    <mergeCell ref="B45:D45"/>
    <mergeCell ref="C48:D48"/>
    <mergeCell ref="B52:C52"/>
    <mergeCell ref="C55:D55"/>
    <mergeCell ref="B57:D57"/>
    <mergeCell ref="B62:D62"/>
    <mergeCell ref="B64:D64"/>
    <mergeCell ref="B66:D66"/>
    <mergeCell ref="B69:E69"/>
    <mergeCell ref="B38:D38"/>
    <mergeCell ref="B4:L4"/>
    <mergeCell ref="O9:Q9"/>
    <mergeCell ref="T9:U9"/>
    <mergeCell ref="B11:D11"/>
    <mergeCell ref="O18:Q18"/>
    <mergeCell ref="B26:E26"/>
    <mergeCell ref="B27:E27"/>
    <mergeCell ref="B28:D28"/>
    <mergeCell ref="B31:C31"/>
    <mergeCell ref="C34:D34"/>
  </mergeCells>
  <hyperlinks>
    <hyperlink ref="L69" location="'Avomaan mansikka'!B2" display="PALAA SIVUN YLÄLAITAAN" xr:uid="{5818C712-A59E-B64B-BA04-49A38FA14596}"/>
    <hyperlink ref="L69:M69" location="'Grönsak från frö 2'!A1" display="TILL SIDANS BÖRJAN" xr:uid="{8C14E0F1-73C6-5C48-BFA2-6A5D0B918B4E}"/>
    <hyperlink ref="B31:C31" location="Ägendom!B13" display="BYGGNADER" xr:uid="{D967918F-3FC5-4CD9-AF0A-6FBACC857BE0}"/>
    <hyperlink ref="B38:D38" location="Ägendom!B27" display="MASKINER OCH UTRUSTNING" xr:uid="{FC6B395E-2267-4289-9131-E2F660D9D834}"/>
    <hyperlink ref="B45:D45" location="Ägendom!B56" display="LÅNGVARIGA PRODUKTIONSMEDEL" xr:uid="{64E6325D-5697-4117-BD47-1A94780AE72E}"/>
    <hyperlink ref="B52:C52" location="Ägendom!B79" display="TÄCKDIKEN" xr:uid="{1FA9B1D9-B4D2-41BE-A6C3-CD58C50809A9}"/>
    <hyperlink ref="B2" location="'Gårdens info'!A1" display="ÅTERGÅ TILL FRAMSIDAN" xr:uid="{47E4F0A2-596C-48A3-AD47-685F287D1499}"/>
    <hyperlink ref="B26:E26" location="'Gårdens info'!A131" display="ALLMÄNNA KOSTNADER, grönsakens andel" xr:uid="{F3ED1590-051F-4F28-903B-3E576BB684A7}"/>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27</vt:i4>
      </vt:variant>
      <vt:variant>
        <vt:lpstr>Namngivna områden</vt:lpstr>
      </vt:variant>
      <vt:variant>
        <vt:i4>1</vt:i4>
      </vt:variant>
    </vt:vector>
  </HeadingPairs>
  <TitlesOfParts>
    <vt:vector size="28" baseType="lpstr">
      <vt:lpstr>INLEDNING</vt:lpstr>
      <vt:lpstr>Gårdens info</vt:lpstr>
      <vt:lpstr>Hela gårdens lönsamhet</vt:lpstr>
      <vt:lpstr>Morot</vt:lpstr>
      <vt:lpstr>Kål</vt:lpstr>
      <vt:lpstr>Lök</vt:lpstr>
      <vt:lpstr>Trädgårdsärt</vt:lpstr>
      <vt:lpstr>Grönsak från frö 1</vt:lpstr>
      <vt:lpstr>Grönsak från frö 2</vt:lpstr>
      <vt:lpstr>Planterad grönsak 1</vt:lpstr>
      <vt:lpstr>Planterad grönsak 2</vt:lpstr>
      <vt:lpstr>Planterad grönsak 3</vt:lpstr>
      <vt:lpstr>Jordgubbe friland</vt:lpstr>
      <vt:lpstr>Jordgubbe tunnel</vt:lpstr>
      <vt:lpstr>Hallon friland</vt:lpstr>
      <vt:lpstr>Hallon tunnel</vt:lpstr>
      <vt:lpstr>Svarta vinbär</vt:lpstr>
      <vt:lpstr>Buskblåbär</vt:lpstr>
      <vt:lpstr>Äpple</vt:lpstr>
      <vt:lpstr>Havre</vt:lpstr>
      <vt:lpstr>Korn</vt:lpstr>
      <vt:lpstr>Vete</vt:lpstr>
      <vt:lpstr>Höstråg</vt:lpstr>
      <vt:lpstr>Naturvårdsåker</vt:lpstr>
      <vt:lpstr>Vall</vt:lpstr>
      <vt:lpstr>Stöd</vt:lpstr>
      <vt:lpstr>Ägendom</vt:lpstr>
      <vt:lpstr>Kohdentamisalue11</vt:lpstr>
    </vt:vector>
  </TitlesOfParts>
  <Company>MTT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Anu K.</dc:creator>
  <cp:lastModifiedBy>Eva Björkas</cp:lastModifiedBy>
  <dcterms:created xsi:type="dcterms:W3CDTF">2009-11-17T11:17:57Z</dcterms:created>
  <dcterms:modified xsi:type="dcterms:W3CDTF">2022-06-21T06:17:46Z</dcterms:modified>
</cp:coreProperties>
</file>